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332" windowHeight="7680" activeTab="1"/>
  </bookViews>
  <sheets>
    <sheet name="План четвороцифрени" sheetId="1" r:id="rId1"/>
    <sheet name="Прогр.активности и пројекти" sheetId="2" r:id="rId2"/>
    <sheet name="План квота" sheetId="3" r:id="rId3"/>
  </sheets>
  <definedNames/>
  <calcPr fullCalcOnLoad="1"/>
</workbook>
</file>

<file path=xl/comments1.xml><?xml version="1.0" encoding="utf-8"?>
<comments xmlns="http://schemas.openxmlformats.org/spreadsheetml/2006/main">
  <authors>
    <author>Vladana</author>
    <author>Windows User</author>
  </authors>
  <commentList>
    <comment ref="J29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J30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J26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8"/>
            <rFont val="Tahoma"/>
            <family val="2"/>
          </rPr>
          <t xml:space="preserve">Јубиларне награде за 10 година радног стажа:
-Петровић Драган
-Николић Давор
-Костић Станимир
</t>
        </r>
        <r>
          <rPr>
            <sz val="9"/>
            <rFont val="Tahoma"/>
            <family val="2"/>
          </rPr>
          <t xml:space="preserve">
</t>
        </r>
      </text>
    </comment>
    <comment ref="J49" authorId="0">
      <text>
        <r>
          <rPr>
            <b/>
            <sz val="9"/>
            <rFont val="Tahoma"/>
            <family val="2"/>
          </rPr>
          <t>Милена</t>
        </r>
      </text>
    </comment>
    <comment ref="K49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K50" authorId="0">
      <text>
        <r>
          <rPr>
            <b/>
            <sz val="9"/>
            <rFont val="Tahoma"/>
            <family val="2"/>
          </rPr>
          <t>Милена: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K28" authorId="0">
      <text>
        <r>
          <rPr>
            <b/>
            <sz val="9"/>
            <rFont val="Tahoma"/>
            <family val="2"/>
          </rPr>
          <t xml:space="preserve">Милена:
Ребаланс 1
</t>
        </r>
        <r>
          <rPr>
            <sz val="8"/>
            <rFont val="Tahoma"/>
            <family val="2"/>
          </rPr>
          <t>+7.000,00 - 421111 - 13</t>
        </r>
        <r>
          <rPr>
            <sz val="9"/>
            <rFont val="Tahoma"/>
            <family val="2"/>
          </rPr>
          <t xml:space="preserve">
</t>
        </r>
      </text>
    </comment>
    <comment ref="J98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J94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+20.400,00-промена апропријације за Влашки фестивал, награде</t>
        </r>
        <r>
          <rPr>
            <b/>
            <sz val="9"/>
            <rFont val="Tahoma"/>
            <family val="2"/>
          </rPr>
          <t xml:space="preserve">
</t>
        </r>
      </text>
    </comment>
    <comment ref="K98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L72" authorId="0">
      <text>
        <r>
          <rPr>
            <b/>
            <sz val="9"/>
            <rFont val="Tahoma"/>
            <family val="2"/>
          </rPr>
          <t xml:space="preserve">Милена:
Ребаланс 2
</t>
        </r>
        <r>
          <rPr>
            <sz val="8"/>
            <rFont val="Tahoma"/>
            <family val="2"/>
          </rPr>
          <t>+30.000,00</t>
        </r>
        <r>
          <rPr>
            <sz val="9"/>
            <rFont val="Tahoma"/>
            <family val="2"/>
          </rPr>
          <t xml:space="preserve">
</t>
        </r>
      </text>
    </comment>
    <comment ref="L73" authorId="0">
      <text>
        <r>
          <rPr>
            <b/>
            <sz val="9"/>
            <rFont val="Tahoma"/>
            <family val="2"/>
          </rPr>
          <t xml:space="preserve">Милена:
Ребаланс 2
</t>
        </r>
        <r>
          <rPr>
            <sz val="8"/>
            <rFont val="Tahoma"/>
            <family val="2"/>
          </rPr>
          <t xml:space="preserve">+72.000,00
</t>
        </r>
        <r>
          <rPr>
            <sz val="9"/>
            <rFont val="Tahoma"/>
            <family val="2"/>
          </rPr>
          <t xml:space="preserve">
</t>
        </r>
      </text>
    </comment>
    <comment ref="L74" authorId="0">
      <text>
        <r>
          <rPr>
            <b/>
            <sz val="9"/>
            <rFont val="Tahoma"/>
            <family val="2"/>
          </rPr>
          <t xml:space="preserve">Милена:
Ребаланс 2
</t>
        </r>
        <r>
          <rPr>
            <sz val="8"/>
            <rFont val="Tahoma"/>
            <family val="2"/>
          </rPr>
          <t>+37.000,00</t>
        </r>
        <r>
          <rPr>
            <sz val="9"/>
            <rFont val="Tahoma"/>
            <family val="2"/>
          </rPr>
          <t xml:space="preserve">
</t>
        </r>
      </text>
    </comment>
    <comment ref="L75" authorId="0">
      <text>
        <r>
          <rPr>
            <b/>
            <sz val="9"/>
            <rFont val="Tahoma"/>
            <family val="2"/>
          </rPr>
          <t xml:space="preserve">Милена:
Ребаланс 2
</t>
        </r>
        <r>
          <rPr>
            <sz val="8"/>
            <rFont val="Tahoma"/>
            <family val="2"/>
          </rPr>
          <t xml:space="preserve">+45.970,00
</t>
        </r>
        <r>
          <rPr>
            <sz val="9"/>
            <rFont val="Tahoma"/>
            <family val="2"/>
          </rPr>
          <t xml:space="preserve">
</t>
        </r>
      </text>
    </comment>
    <comment ref="J91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8"/>
            <rFont val="Tahoma"/>
            <family val="2"/>
          </rPr>
          <t>+30.000,00-промена апропријације за Влашки фестивал, средства из Министартсва, хонорар за жири</t>
        </r>
      </text>
    </comment>
    <comment ref="J93" authorId="0">
      <text>
        <r>
          <rPr>
            <b/>
            <sz val="9"/>
            <rFont val="Tahoma"/>
            <family val="2"/>
          </rPr>
          <t>Милена:</t>
        </r>
        <r>
          <rPr>
            <sz val="9"/>
            <rFont val="Tahoma"/>
            <family val="2"/>
          </rPr>
          <t xml:space="preserve">
</t>
        </r>
      </text>
    </comment>
    <comment ref="J47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8"/>
            <rFont val="Tahoma"/>
            <family val="2"/>
          </rPr>
          <t>-15.000,00-промена апропријације, средства за штампање улазница</t>
        </r>
        <r>
          <rPr>
            <sz val="9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J84" authorId="1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J42" authorId="0">
      <text>
        <r>
          <rPr>
            <b/>
            <sz val="9"/>
            <rFont val="Tahoma"/>
            <family val="2"/>
          </rPr>
          <t>Vladana:</t>
        </r>
        <r>
          <rPr>
            <sz val="9"/>
            <rFont val="Tahoma"/>
            <family val="2"/>
          </rPr>
          <t xml:space="preserve">
SOKOJ
+</t>
        </r>
        <r>
          <rPr>
            <sz val="8"/>
            <rFont val="Tahoma"/>
            <family val="2"/>
          </rPr>
          <t>320.000,00-ср.тек.резерве, правне услуге</t>
        </r>
      </text>
    </comment>
    <comment ref="J96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+86.600,00-промена апропријације Влашки фестивал, ангажовање пратећег оркестра, средтва из Министарства</t>
        </r>
      </text>
    </comment>
    <comment ref="K96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J97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K97" authorId="0">
      <text>
        <r>
          <rPr>
            <b/>
            <sz val="9"/>
            <rFont val="Tahoma"/>
            <family val="2"/>
          </rPr>
          <t xml:space="preserve">Милена:
</t>
        </r>
      </text>
    </comment>
  </commentList>
</comments>
</file>

<file path=xl/comments2.xml><?xml version="1.0" encoding="utf-8"?>
<comments xmlns="http://schemas.openxmlformats.org/spreadsheetml/2006/main">
  <authors>
    <author>Vladana</author>
    <author>Windows User</author>
  </authors>
  <commentList>
    <comment ref="J30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8"/>
            <rFont val="Tahoma"/>
            <family val="2"/>
          </rPr>
          <t xml:space="preserve">Јубиларне награде за 10 година:
-Станимр Костић
-Петровић Драган
-Николић Давор
</t>
        </r>
        <r>
          <rPr>
            <sz val="9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71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за просторије КУД-а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57" authorId="0">
      <text>
        <r>
          <rPr>
            <b/>
            <sz val="9"/>
            <rFont val="Tahoma"/>
            <family val="2"/>
          </rPr>
          <t xml:space="preserve">Милена:
Ребаланс 2
</t>
        </r>
        <r>
          <rPr>
            <sz val="8"/>
            <rFont val="Tahoma"/>
            <family val="2"/>
          </rPr>
          <t>+190.000,00</t>
        </r>
        <r>
          <rPr>
            <sz val="9"/>
            <rFont val="Tahoma"/>
            <family val="2"/>
          </rPr>
          <t xml:space="preserve">
</t>
        </r>
      </text>
    </comment>
    <comment ref="J171" authorId="0">
      <text>
        <r>
          <rPr>
            <b/>
            <sz val="9"/>
            <rFont val="Tahoma"/>
            <family val="2"/>
          </rPr>
          <t>Милена:</t>
        </r>
      </text>
    </comment>
    <comment ref="K71" authorId="0">
      <text>
        <r>
          <rPr>
            <b/>
            <sz val="9"/>
            <rFont val="Tahoma"/>
            <family val="2"/>
          </rPr>
          <t>Милена:</t>
        </r>
        <r>
          <rPr>
            <sz val="9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K73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158" authorId="0">
      <text>
        <r>
          <rPr>
            <b/>
            <sz val="9"/>
            <rFont val="Tahoma"/>
            <family val="2"/>
          </rPr>
          <t>Milena:</t>
        </r>
        <r>
          <rPr>
            <sz val="9"/>
            <rFont val="Tahoma"/>
            <family val="2"/>
          </rPr>
          <t xml:space="preserve">
</t>
        </r>
      </text>
    </comment>
    <comment ref="K171" authorId="0">
      <text>
        <r>
          <rPr>
            <b/>
            <sz val="9"/>
            <rFont val="Tahoma"/>
            <family val="2"/>
          </rPr>
          <t xml:space="preserve">Milena:
Ребаланс 2
</t>
        </r>
        <r>
          <rPr>
            <sz val="8"/>
            <rFont val="Tahoma"/>
            <family val="2"/>
          </rPr>
          <t>+328.000,00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Миленa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90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153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168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68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58" authorId="0">
      <text>
        <r>
          <rPr>
            <b/>
            <sz val="9"/>
            <rFont val="Tahoma"/>
            <family val="2"/>
          </rPr>
          <t>Милена:</t>
        </r>
        <r>
          <rPr>
            <sz val="9"/>
            <rFont val="Tahoma"/>
            <family val="2"/>
          </rPr>
          <t xml:space="preserve">
</t>
        </r>
      </text>
    </comment>
    <comment ref="J145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169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170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122" authorId="1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 xml:space="preserve">Закуп бине за три концерта  = 1.200.000,00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64" authorId="1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J61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-план и програм обуке радника и захтев за издавање мишљења на план и програм обуке - 4.200,00 динара
-припрема за полагање стручног испита из области Заштите ос пожара - 40.000,00</t>
        </r>
        <r>
          <rPr>
            <sz val="9"/>
            <rFont val="Tahoma"/>
            <family val="2"/>
          </rPr>
          <t xml:space="preserve">
</t>
        </r>
      </text>
    </comment>
    <comment ref="J75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дуг од прошле године 14.560,00</t>
        </r>
        <r>
          <rPr>
            <sz val="9"/>
            <rFont val="Tahoma"/>
            <family val="2"/>
          </rPr>
          <t xml:space="preserve">
</t>
        </r>
      </text>
    </comment>
    <comment ref="J165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62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-план и програм обуке радника и захтев за издавање мишљења на план и програм обуке - 4.200,00 динара
-припрема за полагање стручног испита из области Заштите ос пожара - 40.000,00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Vladana</author>
  </authors>
  <commentList>
    <comment ref="I23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I86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I48" authorId="0">
      <text>
        <r>
          <rPr>
            <b/>
            <sz val="9"/>
            <rFont val="Tahoma"/>
            <family val="2"/>
          </rPr>
          <t>Milena: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Замена квоте
+365.000,00-ДОО Лефтер</t>
        </r>
      </text>
    </comment>
    <comment ref="J48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Замена квоте
</t>
        </r>
        <r>
          <rPr>
            <sz val="8"/>
            <rFont val="Tahoma"/>
            <family val="2"/>
          </rPr>
          <t>-250.000,00-ДОО Лефтер</t>
        </r>
      </text>
    </comment>
    <comment ref="I92" authorId="0">
      <text>
        <r>
          <rPr>
            <b/>
            <sz val="9"/>
            <rFont val="Tahoma"/>
            <family val="2"/>
          </rPr>
          <t xml:space="preserve">Milena:
</t>
        </r>
      </text>
    </comment>
    <comment ref="L92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J22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9"/>
            <rFont val="Tahoma"/>
            <family val="2"/>
          </rPr>
          <t xml:space="preserve">
</t>
        </r>
      </text>
    </comment>
    <comment ref="J92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9"/>
            <rFont val="Tahoma"/>
            <family val="2"/>
          </rPr>
          <t xml:space="preserve">
</t>
        </r>
      </text>
    </comment>
    <comment ref="J84" authorId="0">
      <text>
        <r>
          <rPr>
            <b/>
            <sz val="9"/>
            <rFont val="Tahoma"/>
            <family val="2"/>
          </rPr>
          <t>Милена:</t>
        </r>
        <r>
          <rPr>
            <sz val="9"/>
            <rFont val="Tahoma"/>
            <family val="2"/>
          </rPr>
          <t xml:space="preserve">
+200.000,00</t>
        </r>
      </text>
    </comment>
    <comment ref="L84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-200.000,00</t>
        </r>
      </text>
    </comment>
    <comment ref="L31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9"/>
            <rFont val="Tahoma"/>
            <family val="2"/>
          </rPr>
          <t xml:space="preserve">
</t>
        </r>
      </text>
    </comment>
    <comment ref="K48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Замена квоте
-115.000,00-ДОО Лефтер</t>
        </r>
        <r>
          <rPr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b/>
            <sz val="9"/>
            <rFont val="Tahoma"/>
            <family val="2"/>
          </rPr>
          <t>Милена:</t>
        </r>
        <r>
          <rPr>
            <sz val="9"/>
            <rFont val="Tahoma"/>
            <family val="2"/>
          </rPr>
          <t xml:space="preserve">
</t>
        </r>
      </text>
    </comment>
    <comment ref="K84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K86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L81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L83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9"/>
            <rFont val="Tahoma"/>
            <family val="2"/>
          </rPr>
          <t xml:space="preserve">
</t>
        </r>
      </text>
    </comment>
    <comment ref="I76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8"/>
            <rFont val="Tahoma"/>
            <family val="2"/>
          </rPr>
          <t>Промена квоте
+10.000,00 из другог квартала</t>
        </r>
        <r>
          <rPr>
            <sz val="9"/>
            <rFont val="Tahoma"/>
            <family val="2"/>
          </rPr>
          <t xml:space="preserve">
</t>
        </r>
      </text>
    </comment>
    <comment ref="J76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Промена квоте
-10.000,00 у први квартал</t>
        </r>
        <r>
          <rPr>
            <sz val="9"/>
            <rFont val="Tahoma"/>
            <family val="2"/>
          </rPr>
          <t xml:space="preserve">
</t>
        </r>
      </text>
    </comment>
    <comment ref="I93" authorId="0">
      <text>
        <r>
          <rPr>
            <b/>
            <sz val="9"/>
            <rFont val="Tahoma"/>
            <family val="2"/>
          </rPr>
          <t xml:space="preserve">Milena:
</t>
        </r>
      </text>
    </comment>
    <comment ref="J93" authorId="0">
      <text>
        <r>
          <rPr>
            <b/>
            <sz val="9"/>
            <rFont val="Tahoma"/>
            <family val="2"/>
          </rPr>
          <t xml:space="preserve">Milena:
</t>
        </r>
        <r>
          <rPr>
            <sz val="9"/>
            <rFont val="Tahoma"/>
            <family val="2"/>
          </rPr>
          <t xml:space="preserve">
</t>
        </r>
      </text>
    </comment>
    <comment ref="L93" authorId="0">
      <text>
        <r>
          <rPr>
            <b/>
            <sz val="9"/>
            <rFont val="Tahoma"/>
            <family val="2"/>
          </rPr>
          <t xml:space="preserve">Милена:
</t>
        </r>
      </text>
    </comment>
    <comment ref="K74" authorId="0">
      <text>
        <r>
          <rPr>
            <b/>
            <sz val="9"/>
            <rFont val="Tahoma"/>
            <family val="0"/>
          </rPr>
          <t xml:space="preserve">Milena:
</t>
        </r>
        <r>
          <rPr>
            <sz val="8"/>
            <rFont val="Tahoma"/>
            <family val="2"/>
          </rPr>
          <t>-замена квоте закуп бине из четвртог квартала +400.000,00</t>
        </r>
        <r>
          <rPr>
            <sz val="9"/>
            <rFont val="Tahoma"/>
            <family val="0"/>
          </rPr>
          <t xml:space="preserve">
</t>
        </r>
      </text>
    </comment>
    <comment ref="L74" authorId="0">
      <text>
        <r>
          <rPr>
            <b/>
            <sz val="9"/>
            <rFont val="Tahoma"/>
            <family val="2"/>
          </rPr>
          <t xml:space="preserve">Милена:
</t>
        </r>
        <r>
          <rPr>
            <sz val="8"/>
            <rFont val="Tahoma"/>
            <family val="2"/>
          </rPr>
          <t>замена квоте у трећи квартал
-400.000,00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<sst xmlns="http://schemas.openxmlformats.org/spreadsheetml/2006/main" count="527" uniqueCount="298">
  <si>
    <t>НАЗИВ ПОЗИЦИЈЕ</t>
  </si>
  <si>
    <t>Средства из буџ.опш.</t>
  </si>
  <si>
    <t>Плате и накнаде</t>
  </si>
  <si>
    <t>Плате, накн. и додаци за запосл.</t>
  </si>
  <si>
    <t>Превоз на посао</t>
  </si>
  <si>
    <t>Стални трошкови</t>
  </si>
  <si>
    <t>Пословна путовања</t>
  </si>
  <si>
    <t>Услуге по уговору</t>
  </si>
  <si>
    <t>Угоститељске услуге</t>
  </si>
  <si>
    <t>Остале опште услуге</t>
  </si>
  <si>
    <t>Услуге културе</t>
  </si>
  <si>
    <t>Текуће поправке и одрж.</t>
  </si>
  <si>
    <t>Материјали</t>
  </si>
  <si>
    <t>Материјал за културу</t>
  </si>
  <si>
    <t>Порези и обав.таксе</t>
  </si>
  <si>
    <t>Новч. каз. и пен.по реш.суда</t>
  </si>
  <si>
    <t>Машине и опрема</t>
  </si>
  <si>
    <t>Административна опрема</t>
  </si>
  <si>
    <t>УКУПНО:</t>
  </si>
  <si>
    <t>ИЗВОРИ ФИНАНСИРАЊА:</t>
  </si>
  <si>
    <t>Ред.
Бр.</t>
  </si>
  <si>
    <t>Сопствена
средства</t>
  </si>
  <si>
    <t>Укупна 
средства</t>
  </si>
  <si>
    <t>01</t>
  </si>
  <si>
    <t>04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</si>
  <si>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</si>
  <si>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</si>
  <si>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</si>
  <si>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</si>
  <si>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</si>
  <si>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</si>
  <si>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</si>
  <si>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Трошкови платног промета</t>
  </si>
  <si>
    <t>Услуге одржавања рачунара</t>
  </si>
  <si>
    <t>Материјал за посебне намене</t>
  </si>
  <si>
    <t>Услуге брзе поште</t>
  </si>
  <si>
    <t>Регистрација возила</t>
  </si>
  <si>
    <t>Општинске таксе</t>
  </si>
  <si>
    <t>Судске таксе</t>
  </si>
  <si>
    <t>Рачунарска опрема</t>
  </si>
  <si>
    <t>Услуге мобилне телефоније</t>
  </si>
  <si>
    <t>Услуге поштарине</t>
  </si>
  <si>
    <t>Услуге одржавања сајта</t>
  </si>
  <si>
    <t>Помоћ у медицинском лечењу 
запосленог или члана уже породице</t>
  </si>
  <si>
    <t>Отпремнине у случају смрти запосленог или члана уже породице</t>
  </si>
  <si>
    <t>Трошкови платног промета за рачун буџета 840-1005664-30 и сопств.средстава 840-933668-96</t>
  </si>
  <si>
    <t>Услуге електричне енергије за 
објекат биоскопа "Звезда" у улици Ђуре Ђаковића 1</t>
  </si>
  <si>
    <t>Услуге централног грејања за објекат биоскопа "Звезда" од 628м2 у улици Ђуре Ђаковића 1</t>
  </si>
  <si>
    <t>Услуге водовода и канализације
за објекат биоскопа "Звезда" у улици Ђуре Ђаковића 1</t>
  </si>
  <si>
    <t>Услуге одвоза отпада за објекат биоскопа "Звезда" у улици Ђуре Ђаковића 1</t>
  </si>
  <si>
    <t>Услуге фиксне телефоније за 4 телефонска броја</t>
  </si>
  <si>
    <t>Услуге АДСЛ за интернет услуге за бројеве 424-546 и 421-259</t>
  </si>
  <si>
    <t>Осигурање зграде биоскопа "Звезда" у улици Ђуре Ђаковића 1</t>
  </si>
  <si>
    <t>Осигурање опреме коју поседује Установа</t>
  </si>
  <si>
    <t>Осигурање запослених у случају несреће на раду</t>
  </si>
  <si>
    <t>Здравствено осигурање запосених.</t>
  </si>
  <si>
    <t>Осигурање од одговорности према трећим лицима - осигурање посетилаца програма Установе</t>
  </si>
  <si>
    <t>Трошкови исхране на службеном путу за директора, организаторе, сектор административно финансијских и општих послова</t>
  </si>
  <si>
    <t>Трошкови превоза на службеном путу за директора, организаторе, сектор административно финансијских и општих послова</t>
  </si>
  <si>
    <t>Остали трошкови за пословна путовања у земљи за директора, организаторе, сектор административно финансијских и општих послова</t>
  </si>
  <si>
    <t>Услуге образовања и усавршавања, котизације за семинаре за организаторе, сектор административно финансијских и општих послова, за учешће едукативних радионица на Фестивалима и такмичењима у земљи и иностранству</t>
  </si>
  <si>
    <t>Услуге штампања плаката, флајера, позивница, захвалница, диплома, улазница за програме, билтена, каталога, публикација и др.</t>
  </si>
  <si>
    <t>Репрезентација (календари, упаљачи, хемијске и др.)</t>
  </si>
  <si>
    <t>Остале опште услуге (израда фотографија, печата, фотокопирање,прање возила и др.)</t>
  </si>
  <si>
    <t>Превоз учесника на манифестације  у организацији Установе и на којима учествује Установа, а за текуће пословање Установе</t>
  </si>
  <si>
    <t>Остале специјализоване услуге ( надзор и контрола радова и сл.)</t>
  </si>
  <si>
    <t xml:space="preserve">Поправке и одржавање рачунарске опреме и снабдевање Установе са кертриџима </t>
  </si>
  <si>
    <t>Поправке и одржавање опреме за јавну безбедност - противпожарни апарати и сигурносне камере</t>
  </si>
  <si>
    <t>Канцеларијски материјал за несметан рад Установе и свих сектора Установе</t>
  </si>
  <si>
    <t>Биодекорација - цветни аранжмани за академије, свечаности и програме које организује Установа</t>
  </si>
  <si>
    <t>Стручна литература за редовне потребе запослених у свим секторима</t>
  </si>
  <si>
    <t>Трошкови горива за службено возило Опел астра за редовне потребе Установе</t>
  </si>
  <si>
    <t>Мазива за службено возило</t>
  </si>
  <si>
    <t>Остали материјал за превозна средства</t>
  </si>
  <si>
    <t>Хемијска средства за чишћење</t>
  </si>
  <si>
    <t>Потрошни материјал (сијалице за сцену, за салу, кабле и др.)</t>
  </si>
  <si>
    <t>Алат и инвентар (бургије, лемилице и др.)</t>
  </si>
  <si>
    <t>Новчане казне и пенали по решењу судова</t>
  </si>
  <si>
    <t>Трошкови горива за села учеснике манифестације</t>
  </si>
  <si>
    <t>Оцењивање аутентичности извођења влашке песме</t>
  </si>
  <si>
    <t>Стручно предавање о пореклу и значају језика</t>
  </si>
  <si>
    <t>Рад корепетиције за КУД "Бор"</t>
  </si>
  <si>
    <t>Награде за најбоље литерарне (12 књига), ликовне (18 ликовних прибора) и рециклажне (18 прибора за рециклажне радове) радове</t>
  </si>
  <si>
    <t>Остале донације, дотације и трансфери</t>
  </si>
  <si>
    <t>Остале дотације по закону</t>
  </si>
  <si>
    <t>Раздео</t>
  </si>
  <si>
    <t>Глава</t>
  </si>
  <si>
    <t>Позиција</t>
  </si>
  <si>
    <t>Економ.
Класиф.</t>
  </si>
  <si>
    <t>2</t>
  </si>
  <si>
    <t>1201
1201-0001</t>
  </si>
  <si>
    <t>Функција</t>
  </si>
  <si>
    <t>820</t>
  </si>
  <si>
    <t>1201
1201-0002</t>
  </si>
  <si>
    <r>
      <t xml:space="preserve">ПРОЈЕКАТ
УЛИЦА ДЕЧИЈЕГ ОСМЕХА
</t>
    </r>
    <r>
      <rPr>
        <sz val="12"/>
        <color indexed="8"/>
        <rFont val="Times New Roman"/>
        <family val="1"/>
      </rPr>
      <t>Дочаравање новогодишње атмосфере кроз продајну изложбу радова ученика основних школа као и специјалне школе и удружењаза децу са посебним потребама "Мозаик" на шеталишту града.</t>
    </r>
  </si>
  <si>
    <t>Функцион. локалних Установа културе</t>
  </si>
  <si>
    <t>Програмска
Класификација</t>
  </si>
  <si>
    <t>Назив програмске класификације</t>
  </si>
  <si>
    <t>Пројекат</t>
  </si>
  <si>
    <t>Назив пројекта</t>
  </si>
  <si>
    <t>Улица дечијег осмеха</t>
  </si>
  <si>
    <t>Услуге електричне енергије за 
објекат биоскопа "Звезда" у улици Ђуре Ђаковића 1 и централног грејања</t>
  </si>
  <si>
    <t>Услуге водовода и канализације
за објекат биоскопа "Звезда" у улици Ђуре Ђаковића 1 и услуге одвоза отпада</t>
  </si>
  <si>
    <t>Трошкови осигурања</t>
  </si>
  <si>
    <t>Трошкови исхране на службеном путовању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</si>
  <si>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</si>
  <si>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</si>
  <si>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</si>
  <si>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</si>
  <si>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 и поклони</t>
  </si>
  <si>
    <t>Текуће поправке и одржавање зграда и објеката</t>
  </si>
  <si>
    <t>Текуће поправке и одржавање опреме</t>
  </si>
  <si>
    <t>Администартивни материјал</t>
  </si>
  <si>
    <t xml:space="preserve">Стручна литература за редовне потребе запослених </t>
  </si>
  <si>
    <t xml:space="preserve">Материјал за саобраћај </t>
  </si>
  <si>
    <t>Материјал за одржавање хигијене и угоститељство</t>
  </si>
  <si>
    <t>Остале текуће дотације и трансфери - 10% разлике за плату</t>
  </si>
  <si>
    <t>Остали порези</t>
  </si>
  <si>
    <t>Обавезне таксе</t>
  </si>
  <si>
    <t>01 - Приходи из буџета</t>
  </si>
  <si>
    <t>04-Сопствени приходи</t>
  </si>
  <si>
    <t>Материјал за културу, образовање и спорт</t>
  </si>
  <si>
    <t>УКУПНО ЗА ПРОГРАМСКУ АКТИВНОСТ 1201-0001:</t>
  </si>
  <si>
    <t>УКУПНО ЗА ПРОГРАМСКУ АКТИВНОСТ 1201-0002:</t>
  </si>
  <si>
    <t>Пројекат "Улица дечијег осмеха"</t>
  </si>
  <si>
    <t>2.3.</t>
  </si>
  <si>
    <t>Прог.Клас.</t>
  </si>
  <si>
    <t>1201</t>
  </si>
  <si>
    <t>1201-0001</t>
  </si>
  <si>
    <t>Програм 13: Развој културе</t>
  </si>
  <si>
    <t>Функционисање Установе</t>
  </si>
  <si>
    <t>Средства из буџета</t>
  </si>
  <si>
    <t xml:space="preserve">Квота за
II квартал
</t>
  </si>
  <si>
    <t xml:space="preserve">Квота за
I квартал
</t>
  </si>
  <si>
    <t xml:space="preserve">Квота за
III квартал
</t>
  </si>
  <si>
    <t xml:space="preserve">Квота за
IVквартал
</t>
  </si>
  <si>
    <t>Укупно за програмску активност 1201-0001:</t>
  </si>
  <si>
    <t>1201-0002</t>
  </si>
  <si>
    <t>Укупно за програмску активност 1201-0002:</t>
  </si>
  <si>
    <t>Пројекат: Улица дечијег осмеха</t>
  </si>
  <si>
    <t>Допр. За ПИО</t>
  </si>
  <si>
    <t>Помоћ у медицинском лечењу запосленог или члана уже породице</t>
  </si>
  <si>
    <t>Услуге електричне енергије и централног грејања</t>
  </si>
  <si>
    <t>Услуге водовода и канализације и услуге одвоза смећа</t>
  </si>
  <si>
    <t>Услуге комуникације</t>
  </si>
  <si>
    <t>Закуп опреме за културу</t>
  </si>
  <si>
    <t>Репрезентације и поклони</t>
  </si>
  <si>
    <t>Остале специјализоване услуге</t>
  </si>
  <si>
    <t>Стручна литература за редовне потребе запослених</t>
  </si>
  <si>
    <t>Материјал за саобраћај</t>
  </si>
  <si>
    <t>Администартивна опрема</t>
  </si>
  <si>
    <t>Закуп имовине и опреме</t>
  </si>
  <si>
    <t>04 - Сопствени приходи</t>
  </si>
  <si>
    <t>Боловање преко 30 дана</t>
  </si>
  <si>
    <t xml:space="preserve"> </t>
  </si>
  <si>
    <t>Израда ношњи и опанака за школу фолклора</t>
  </si>
  <si>
    <t>Храна за концерте КУД</t>
  </si>
  <si>
    <t>07- Tрансфери од другог нивоа власти</t>
  </si>
  <si>
    <t>07 - Трансфери од другог нивоа власти</t>
  </si>
  <si>
    <t>Радио - ТВ претплата</t>
  </si>
  <si>
    <t>Казне за кашњење</t>
  </si>
  <si>
    <t>Пратећи трошкови задуживања</t>
  </si>
  <si>
    <t>Остали трошкови</t>
  </si>
  <si>
    <t>Материјал за образовање, културу и спорт</t>
  </si>
  <si>
    <t>Исплата накнада за време одсуствовања с посла на терет послодавца</t>
  </si>
  <si>
    <t xml:space="preserve">Јубиларне награде
</t>
  </si>
  <si>
    <t>Трошкови дневница на службеном путовању у земљи</t>
  </si>
  <si>
    <t>Трошкови дневница на службеном путовању у иностранству</t>
  </si>
  <si>
    <t>Породиљско боловање</t>
  </si>
  <si>
    <t xml:space="preserve">Јубиларне награде </t>
  </si>
  <si>
    <t>Медијске услуге радија и телевизије</t>
  </si>
  <si>
    <t xml:space="preserve">Поправке и одржавање опреме за културу, озвучења, расвете, опреме на сцени, опреме за пуштање филмова </t>
  </si>
  <si>
    <t>Намештај</t>
  </si>
  <si>
    <r>
      <t xml:space="preserve">ПРОГРАМСКА АКТИВНОСТ
ФУНКЦИОНИСАЊЕ ЛОКАЛНИХ УСТАНОВА КУЛТУРЕ
</t>
    </r>
    <r>
      <rPr>
        <sz val="12"/>
        <color indexed="8"/>
        <rFont val="Times New Roman"/>
        <family val="1"/>
      </rPr>
      <t>Остваривање законом утврђеног интереса у области културе кроз организацију и реализацију традиционалних манифестација, академских програма, трибина, делатност КУД"Бор", приказивање филмова, издавачку делатност и продукцију, едукативне радионице, позоришну делатност, културну едукацију, подстицај локалног стваралаштва и традиције, гостујуће програме, текуће активности из домена непосредне комуникације и сарадње са осталим установама, удружењима грађана, невладиним организацијама на локалном и републичком нивоу.</t>
    </r>
    <r>
      <rPr>
        <b/>
        <sz val="12"/>
        <color indexed="8"/>
        <rFont val="Times New Roman"/>
        <family val="1"/>
      </rPr>
      <t xml:space="preserve">
</t>
    </r>
  </si>
  <si>
    <t>Услуге чишћења</t>
  </si>
  <si>
    <t>Извођење струје на отвореном</t>
  </si>
  <si>
    <t>Стручно оцењивање такмичара-рецитатора</t>
  </si>
  <si>
    <t>Дан матерњег језика-ноћење предавача</t>
  </si>
  <si>
    <t>Смештај учесника фестивала фолклора</t>
  </si>
  <si>
    <t>Награде за такмичење рецитатора</t>
  </si>
  <si>
    <t>Награде за сусрете села</t>
  </si>
  <si>
    <t>Награде за фестивал влашке изворне песме</t>
  </si>
  <si>
    <t>Аутобуски превоз за КУД Бор у иностранство</t>
  </si>
  <si>
    <t>Аутобуски превоз за КУД Бор у земљи</t>
  </si>
  <si>
    <t>Превоз за манифестацију сусрети села</t>
  </si>
  <si>
    <t>Превоз за саборе и фестивале у земљи</t>
  </si>
  <si>
    <t>Превоз на манифестације у којима учествује установа</t>
  </si>
  <si>
    <t>Путни трошкови за учеснике - извођаче (Влашки фестивал)</t>
  </si>
  <si>
    <t>Ангажовање пратећег оркестра (Влашки фестивал)</t>
  </si>
  <si>
    <t>Ангажовање пратећег оркестра (1. Мај)</t>
  </si>
  <si>
    <t>Програми установе који не подлежу јавној набавци</t>
  </si>
  <si>
    <t>Борско културно лето</t>
  </si>
  <si>
    <t>Концерти</t>
  </si>
  <si>
    <t xml:space="preserve">Молерски радови </t>
  </si>
  <si>
    <t>Трошкови горива за теренска истраживања (КУД Бор)</t>
  </si>
  <si>
    <t>Храна за учеснике манифестације-сусрети села</t>
  </si>
  <si>
    <t>Храна за учеснике сабора и фестивала</t>
  </si>
  <si>
    <t>Храна за полазнике радионица</t>
  </si>
  <si>
    <t>Храна за учеснике програма матерњи језик</t>
  </si>
  <si>
    <t>Храна за концерте</t>
  </si>
  <si>
    <t>Храна за представе</t>
  </si>
  <si>
    <t>Храна за извођаче првомајског уранка</t>
  </si>
  <si>
    <t>Пиће за учеснике манифестације-сусрети села</t>
  </si>
  <si>
    <t>Пиће за учеснике сабора и фестивала</t>
  </si>
  <si>
    <t>Пиће за учеснике програма матерњи језик</t>
  </si>
  <si>
    <t>Пиће за извођаче првомајског уранка</t>
  </si>
  <si>
    <t>Пиће за концерте</t>
  </si>
  <si>
    <t>Пиће за представе</t>
  </si>
  <si>
    <t>Трошкови путовања</t>
  </si>
  <si>
    <t>Трошкови дневница на службеном путу</t>
  </si>
  <si>
    <t>Трошкови превоза на службеном путу у земљи</t>
  </si>
  <si>
    <t>Остали трошкови за пословна путовања у земљи</t>
  </si>
  <si>
    <t>Трошкови дневница на службеном путу у иностранству</t>
  </si>
  <si>
    <t>Гостујуће представе</t>
  </si>
  <si>
    <t xml:space="preserve">Котизација за школу гитаре </t>
  </si>
  <si>
    <t xml:space="preserve">Услуге штампања публикација, плаката, флајера, улазица, захвалница </t>
  </si>
  <si>
    <t>Пиће за Влашки фестивал</t>
  </si>
  <si>
    <t>Отпремнине у случају смрти запосленог или члана уже породице и отпремнина приликом одласка у пензију</t>
  </si>
  <si>
    <t>Услуге образовања, културе и спорта</t>
  </si>
  <si>
    <t>13-Нереспоређени вишак прихода из ранијих година</t>
  </si>
  <si>
    <t>Превоз за КУД Рома</t>
  </si>
  <si>
    <t>07-Трансфери од другог нивоа власти</t>
  </si>
  <si>
    <t>Превоз за остале манифестације</t>
  </si>
  <si>
    <t>Трошкови преатећег оркестра за влашки фестивал</t>
  </si>
  <si>
    <t>Новогодишњи концерт</t>
  </si>
  <si>
    <t>Опрема за културу</t>
  </si>
  <si>
    <t>Текуће поправке и одржавање осталих објеката</t>
  </si>
  <si>
    <t>Уградна опрема</t>
  </si>
  <si>
    <t>Штампачи</t>
  </si>
  <si>
    <t>Стручно оцењивање аутентичности фолклорног, музичког и сценског извођења за Сусрете села</t>
  </si>
  <si>
    <t>Концерт за 1.мај</t>
  </si>
  <si>
    <t>Храна за учеснике - влашки фестивал</t>
  </si>
  <si>
    <t>5</t>
  </si>
  <si>
    <t>Јачање културне продукције и уметничког стваралаштва</t>
  </si>
  <si>
    <t>1201-
П4</t>
  </si>
  <si>
    <t>УКУПНО ЗА ПРОЈЕКАТ "УЛИЦА ДЕЧИЈЕГ ОСМЕХА"   1201-П4:</t>
  </si>
  <si>
    <t>УКУПНО за главу 5.2.3</t>
  </si>
  <si>
    <t>1201
1201-П4</t>
  </si>
  <si>
    <t>1201-П4</t>
  </si>
  <si>
    <t>Укупно за пројекат 1201-П4:</t>
  </si>
  <si>
    <t>Трошкови службених путовања у земљи</t>
  </si>
  <si>
    <t>Трошкови службених путовања у иностранство</t>
  </si>
  <si>
    <t>Јубиларнa наградa за запосленe</t>
  </si>
  <si>
    <t>Медицинске услуге</t>
  </si>
  <si>
    <t>Установа "Центар за културу града Борa" Директор
_______________________
Даниел Чорболоковић</t>
  </si>
  <si>
    <t>Дератизација</t>
  </si>
  <si>
    <t>ПП послови</t>
  </si>
  <si>
    <t>Награде за улицу Дечијег осмеха</t>
  </si>
  <si>
    <t>Алат и инвентар</t>
  </si>
  <si>
    <t>Остале медицинске услуге</t>
  </si>
  <si>
    <t>Остале специјализоване услуге-услуге физичког обезбеђења</t>
  </si>
  <si>
    <t>Остале специјализоване услуге-професионално снимање представа Драмског студија</t>
  </si>
  <si>
    <t xml:space="preserve">Накнада трошкова превоза се односи на 14 запослених на неодређено време  </t>
  </si>
  <si>
    <t xml:space="preserve">Осигурање службеног возила Опела астра и приколице приликом регистрације и каско осигурање возила </t>
  </si>
  <si>
    <t>Услуге СОКОЈ-у</t>
  </si>
  <si>
    <t>Поправке и одржавање опреме за саобраћај -  сервис возила и технички преглед</t>
  </si>
  <si>
    <t>Републичке таксе</t>
  </si>
  <si>
    <t xml:space="preserve">Котизација за семинаре, фестивале, такмичења </t>
  </si>
  <si>
    <t xml:space="preserve">Едукација за радионицу етно певања </t>
  </si>
  <si>
    <t xml:space="preserve">Едукација полазника радионице трад.дувачких инструмената </t>
  </si>
  <si>
    <t>Израда сценографије и костима за Драмски студио</t>
  </si>
  <si>
    <t>Израда сценографије за програме Установе</t>
  </si>
  <si>
    <t>Кетеринг за фестивал фолклора</t>
  </si>
  <si>
    <t>Угоститељске услуге - кетеринг</t>
  </si>
  <si>
    <t>Набавка ношњи и опанака за школу фолклора</t>
  </si>
  <si>
    <t>Набавка опреме за школу фолклора и Дечијег ансамбла</t>
  </si>
  <si>
    <t>Концерт за манифестацију дани бање</t>
  </si>
  <si>
    <t>Трошкови горива за превоз чланова жирија и организатора</t>
  </si>
  <si>
    <t xml:space="preserve">Накнада трошкова превоза се односи на 14 запослених на неодређено време </t>
  </si>
  <si>
    <t>УКУПНО за програмску класификацију  
1201-0001, 1201-0002</t>
  </si>
  <si>
    <t>Установа "Центар за културу града Бора"</t>
  </si>
  <si>
    <t>Установа "Центар за културу града Бора"
директор
_______________________
Даниел Чорболоковић</t>
  </si>
  <si>
    <t>Установа "Центар за културу града Бора"
 директор
____________________________
Даниел Чорболоковић</t>
  </si>
  <si>
    <t>01 - Општи приходи и примања буџета</t>
  </si>
  <si>
    <t>01 -Општи приходи и примања буџета</t>
  </si>
  <si>
    <t>Остали извори</t>
  </si>
  <si>
    <t>04, 07, 13</t>
  </si>
  <si>
    <r>
      <t xml:space="preserve">ПРОГРАМСКА АКТИВНОСТ
ЈАЧАЊЕ КУЛТУРНЕ ПРОДУКЦИЈЕ И УМЕТНИЧКОГ СТВАРАЛАШТВА
</t>
    </r>
    <r>
      <rPr>
        <sz val="12"/>
        <color indexed="8"/>
        <rFont val="Times New Roman"/>
        <family val="1"/>
      </rPr>
      <t>Програмска активност "Јачање културне продукције и уметничког стваралаштва" подразумева низ едукативних радионица и то: Драмски студио за децу, школа гитаре и градски хор. Установа би организовала радионице усмерене према млађој популацији попут Драмског студиа за децу, школу гитаре, градски хор, традиционални дувачки инструменти и ликовна радионица који ће подстицати стваралачке вредности код деце модерним и креативним приступом у раду као и неговање социјалних навика и вештина. Откривање, афирмација и промоција локалних талената као и промоција града у другим срединама.</t>
    </r>
  </si>
  <si>
    <t xml:space="preserve">01- </t>
  </si>
  <si>
    <t>Општи приходи и примања буџета</t>
  </si>
  <si>
    <t>04-</t>
  </si>
  <si>
    <t>Сопств.приходи буџ.корисника</t>
  </si>
  <si>
    <t>07-</t>
  </si>
  <si>
    <t>Трансфери од другог нивоа власти</t>
  </si>
  <si>
    <t>13-</t>
  </si>
  <si>
    <t>Нерасп.вишак прихода из ран.год.</t>
  </si>
  <si>
    <t>Едукација за ликовну радионицу</t>
  </si>
  <si>
    <t>Пиће за активности КУД-а</t>
  </si>
  <si>
    <t>Храна за активности КУД-а</t>
  </si>
  <si>
    <t>Услуге штампања монографије</t>
  </si>
  <si>
    <r>
      <t>Број: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151</t>
    </r>
    <r>
      <rPr>
        <sz val="12"/>
        <color indexed="8"/>
        <rFont val="Times New Roman"/>
        <family val="1"/>
      </rPr>
      <t>-III/2019
У Бору, 09.07.2019.године</t>
    </r>
  </si>
  <si>
    <r>
      <t>ИЗМЕНА И ДОПУНА ПЛАНА КВОТА
 ПО КВАРТАЛИМА ЗА 2019.годину 
израђен на основу извода из Решења о утврђивању квота-распореду средстава буџета града Бора за потрошњу у 2019.години
број</t>
    </r>
    <r>
      <rPr>
        <b/>
        <sz val="12"/>
        <rFont val="Times New Roman"/>
        <family val="1"/>
      </rPr>
      <t xml:space="preserve"> 400-1-23/2019-III-04 од 23.01.2019</t>
    </r>
    <r>
      <rPr>
        <b/>
        <sz val="12"/>
        <color indexed="8"/>
        <rFont val="Times New Roman"/>
        <family val="1"/>
      </rPr>
      <t>.године и Решења о утврђивању квота-распореду средстава буџета града Бора за потрошњу у 2019.години
број 400-1-123/2019-III-04 од 08.07.2019.године</t>
    </r>
  </si>
  <si>
    <t>Остале правне услуге</t>
  </si>
  <si>
    <r>
      <t xml:space="preserve">
ИЗМЕНА И ДОПУНА ФИНАНСИЈСКОГ ПЛАНА
ЗА 2019.ГОДИНУ 
</t>
    </r>
    <r>
      <rPr>
        <b/>
        <sz val="12"/>
        <rFont val="Times New Roman"/>
        <family val="1"/>
      </rPr>
      <t>израђен на основу Решења о расподели средстава за 2019.годину  број 400-23/2019-III-01 од 08.01.2019.год. о одобреним апропријацијама из Одлуке о буџету града Бор за 2019.године oд , број 400-317/2018-I (Сл.лист града Бора"бр.18/2018) и Решења о имени и допуни решења о расподели средстава број 400-132/2019-III-01 од 08.07.2019.год. и Решења о имени и допуни решења о расподели средстава број 400-199/2019-III-01 од 22.08.2019.год. и Решења о имени и допуни решења о расподели средстава број 400-202/2019-III-01 од 30.08.2019.год. у оквиру одобрених апропријација Градске управе Бор.</t>
    </r>
    <r>
      <rPr>
        <b/>
        <sz val="12"/>
        <color indexed="8"/>
        <rFont val="Times New Roman"/>
        <family val="1"/>
      </rPr>
      <t xml:space="preserve">
</t>
    </r>
  </si>
  <si>
    <r>
      <t>Број: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180-III/2019
У Бору, 02.09.2019.године</t>
    </r>
  </si>
  <si>
    <t>Број: 181-III/2019
У Бору, 02.09.2019.године</t>
  </si>
  <si>
    <t>Потрошни материјал за ликовну радионицу</t>
  </si>
  <si>
    <t xml:space="preserve">ИЗМЕНА И ДОПУНА ФИНАНСИЈСКОГ ПЛАНА
ЗА 2019.ГОДИНУ 
израђен на основу Решења о расподели средстава за 2019.годину  број 400-23/2018-III-01 од 08.01.2019.год. о одобреним апропријацијама из Одлуке о буџету града Бора за 2019.године oд , број 400-317/2018-I (Сл.лист града Бора"бр.18/2018) и Решења о имени и допуни решења о расподели средстава број 400-132/2019-III-01 од 08.07.2019.год. и Решења о имени и допуни решења о расподели средстава број 400-199/2019-III-01 од 22.08.2019.год. и Решења о имени и допуни решења о расподели средстава број 400-202/2019-III-01 од 30.08.2019.год.  у оквиру одобрених апропријација Градске управе Бор. 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</si>
</sst>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"/>
      <color indexed="9"/>
      <name val="Times New Roman"/>
      <family val="0"/>
    </font>
    <font>
      <sz val="9"/>
      <color indexed="9"/>
      <name val="Calibri Cyr"/>
      <family val="0"/>
    </font>
    <font>
      <sz val="9"/>
      <color indexed="9"/>
      <name val="Times New Roman"/>
      <family val="0"/>
    </font>
    <font>
      <sz val="11"/>
      <color indexed="8"/>
      <name val="Times New Roman"/>
      <family val="0"/>
    </font>
    <font>
      <sz val="6"/>
      <color indexed="8"/>
      <name val="Arial Cyr"/>
      <family val="0"/>
    </font>
    <font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5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right" vertical="top" wrapText="1"/>
    </xf>
    <xf numFmtId="0" fontId="53" fillId="0" borderId="11" xfId="0" applyFont="1" applyBorder="1" applyAlignment="1">
      <alignment horizontal="right" vertical="top" wrapText="1"/>
    </xf>
    <xf numFmtId="0" fontId="53" fillId="33" borderId="11" xfId="0" applyFont="1" applyFill="1" applyBorder="1" applyAlignment="1">
      <alignment horizontal="right" vertical="top" wrapText="1"/>
    </xf>
    <xf numFmtId="4" fontId="53" fillId="33" borderId="11" xfId="0" applyNumberFormat="1" applyFont="1" applyFill="1" applyBorder="1" applyAlignment="1">
      <alignment horizontal="right" vertical="top" wrapText="1"/>
    </xf>
    <xf numFmtId="0" fontId="53" fillId="33" borderId="10" xfId="0" applyFont="1" applyFill="1" applyBorder="1" applyAlignment="1">
      <alignment vertical="top" wrapText="1"/>
    </xf>
    <xf numFmtId="0" fontId="53" fillId="34" borderId="11" xfId="0" applyFont="1" applyFill="1" applyBorder="1" applyAlignment="1">
      <alignment horizontal="right" vertical="top" wrapText="1"/>
    </xf>
    <xf numFmtId="0" fontId="53" fillId="34" borderId="11" xfId="0" applyFont="1" applyFill="1" applyBorder="1" applyAlignment="1">
      <alignment vertical="top" wrapText="1"/>
    </xf>
    <xf numFmtId="4" fontId="53" fillId="34" borderId="11" xfId="0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vertical="top" wrapText="1"/>
    </xf>
    <xf numFmtId="4" fontId="53" fillId="34" borderId="10" xfId="0" applyNumberFormat="1" applyFont="1" applyFill="1" applyBorder="1" applyAlignment="1">
      <alignment horizontal="right" vertical="top" wrapText="1"/>
    </xf>
    <xf numFmtId="0" fontId="54" fillId="33" borderId="12" xfId="0" applyFont="1" applyFill="1" applyBorder="1" applyAlignment="1">
      <alignment vertical="top" wrapText="1"/>
    </xf>
    <xf numFmtId="0" fontId="54" fillId="35" borderId="13" xfId="0" applyFont="1" applyFill="1" applyBorder="1" applyAlignment="1">
      <alignment horizontal="right" vertical="top" wrapText="1"/>
    </xf>
    <xf numFmtId="0" fontId="54" fillId="35" borderId="14" xfId="0" applyFont="1" applyFill="1" applyBorder="1" applyAlignment="1">
      <alignment vertical="top" wrapText="1"/>
    </xf>
    <xf numFmtId="4" fontId="54" fillId="35" borderId="14" xfId="0" applyNumberFormat="1" applyFont="1" applyFill="1" applyBorder="1" applyAlignment="1">
      <alignment horizontal="right" vertical="top" wrapText="1"/>
    </xf>
    <xf numFmtId="0" fontId="53" fillId="33" borderId="12" xfId="0" applyFont="1" applyFill="1" applyBorder="1" applyAlignment="1">
      <alignment vertical="top" wrapText="1"/>
    </xf>
    <xf numFmtId="0" fontId="53" fillId="34" borderId="15" xfId="0" applyFont="1" applyFill="1" applyBorder="1" applyAlignment="1">
      <alignment horizontal="right" vertical="top" wrapText="1"/>
    </xf>
    <xf numFmtId="0" fontId="53" fillId="34" borderId="16" xfId="0" applyFont="1" applyFill="1" applyBorder="1" applyAlignment="1">
      <alignment vertical="top" wrapText="1"/>
    </xf>
    <xf numFmtId="4" fontId="53" fillId="34" borderId="16" xfId="0" applyNumberFormat="1" applyFont="1" applyFill="1" applyBorder="1" applyAlignment="1">
      <alignment horizontal="right" vertical="top" wrapText="1"/>
    </xf>
    <xf numFmtId="0" fontId="53" fillId="33" borderId="15" xfId="0" applyFont="1" applyFill="1" applyBorder="1" applyAlignment="1">
      <alignment vertical="top" wrapText="1"/>
    </xf>
    <xf numFmtId="0" fontId="53" fillId="34" borderId="17" xfId="0" applyFont="1" applyFill="1" applyBorder="1" applyAlignment="1">
      <alignment horizontal="right" vertical="top" wrapText="1"/>
    </xf>
    <xf numFmtId="0" fontId="53" fillId="34" borderId="18" xfId="0" applyFont="1" applyFill="1" applyBorder="1" applyAlignment="1">
      <alignment vertical="top" wrapText="1"/>
    </xf>
    <xf numFmtId="4" fontId="53" fillId="34" borderId="18" xfId="0" applyNumberFormat="1" applyFont="1" applyFill="1" applyBorder="1" applyAlignment="1">
      <alignment horizontal="right" vertical="top" wrapText="1"/>
    </xf>
    <xf numFmtId="0" fontId="53" fillId="33" borderId="17" xfId="0" applyFont="1" applyFill="1" applyBorder="1" applyAlignment="1">
      <alignment vertical="top" wrapText="1"/>
    </xf>
    <xf numFmtId="4" fontId="53" fillId="33" borderId="16" xfId="0" applyNumberFormat="1" applyFont="1" applyFill="1" applyBorder="1" applyAlignment="1">
      <alignment horizontal="right" vertical="top" wrapText="1"/>
    </xf>
    <xf numFmtId="0" fontId="53" fillId="33" borderId="18" xfId="0" applyFont="1" applyFill="1" applyBorder="1" applyAlignment="1">
      <alignment horizontal="right" vertical="top" wrapText="1"/>
    </xf>
    <xf numFmtId="4" fontId="53" fillId="33" borderId="18" xfId="0" applyNumberFormat="1" applyFont="1" applyFill="1" applyBorder="1" applyAlignment="1">
      <alignment horizontal="right" vertical="top" wrapText="1"/>
    </xf>
    <xf numFmtId="0" fontId="53" fillId="33" borderId="15" xfId="0" applyFont="1" applyFill="1" applyBorder="1" applyAlignment="1">
      <alignment horizontal="right" vertical="top" wrapText="1"/>
    </xf>
    <xf numFmtId="0" fontId="53" fillId="33" borderId="16" xfId="0" applyFont="1" applyFill="1" applyBorder="1" applyAlignment="1">
      <alignment vertical="top" wrapText="1"/>
    </xf>
    <xf numFmtId="4" fontId="53" fillId="34" borderId="14" xfId="0" applyNumberFormat="1" applyFont="1" applyFill="1" applyBorder="1" applyAlignment="1">
      <alignment horizontal="right" vertical="top" wrapText="1"/>
    </xf>
    <xf numFmtId="0" fontId="53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49" fontId="5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4" fillId="0" borderId="19" xfId="0" applyFont="1" applyBorder="1" applyAlignment="1">
      <alignment horizontal="center" vertical="top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/>
    </xf>
    <xf numFmtId="4" fontId="53" fillId="0" borderId="11" xfId="0" applyNumberFormat="1" applyFont="1" applyBorder="1" applyAlignment="1">
      <alignment vertical="top"/>
    </xf>
    <xf numFmtId="4" fontId="53" fillId="0" borderId="15" xfId="0" applyNumberFormat="1" applyFont="1" applyBorder="1" applyAlignment="1">
      <alignment vertical="top"/>
    </xf>
    <xf numFmtId="0" fontId="54" fillId="35" borderId="12" xfId="0" applyFont="1" applyFill="1" applyBorder="1" applyAlignment="1">
      <alignment horizontal="right" vertical="top" wrapText="1"/>
    </xf>
    <xf numFmtId="0" fontId="54" fillId="35" borderId="11" xfId="0" applyFont="1" applyFill="1" applyBorder="1" applyAlignment="1">
      <alignment vertical="top" wrapText="1"/>
    </xf>
    <xf numFmtId="4" fontId="54" fillId="35" borderId="11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Border="1" applyAlignment="1" applyProtection="1">
      <alignment vertical="top" wrapText="1"/>
      <protection locked="0"/>
    </xf>
    <xf numFmtId="4" fontId="2" fillId="0" borderId="14" xfId="0" applyNumberFormat="1" applyFont="1" applyBorder="1" applyAlignment="1" applyProtection="1">
      <alignment vertical="top" wrapText="1"/>
      <protection locked="0"/>
    </xf>
    <xf numFmtId="0" fontId="54" fillId="0" borderId="13" xfId="0" applyFont="1" applyBorder="1" applyAlignment="1">
      <alignment vertical="top" wrapText="1"/>
    </xf>
    <xf numFmtId="0" fontId="54" fillId="0" borderId="14" xfId="0" applyFont="1" applyBorder="1" applyAlignment="1">
      <alignment horizontal="right" vertical="top" wrapText="1"/>
    </xf>
    <xf numFmtId="0" fontId="53" fillId="34" borderId="22" xfId="0" applyFont="1" applyFill="1" applyBorder="1" applyAlignment="1">
      <alignment vertical="top" wrapText="1"/>
    </xf>
    <xf numFmtId="0" fontId="53" fillId="34" borderId="20" xfId="0" applyFont="1" applyFill="1" applyBorder="1" applyAlignment="1">
      <alignment horizontal="right" vertical="top" wrapText="1"/>
    </xf>
    <xf numFmtId="0" fontId="53" fillId="34" borderId="23" xfId="0" applyFont="1" applyFill="1" applyBorder="1" applyAlignment="1">
      <alignment vertical="top" wrapText="1"/>
    </xf>
    <xf numFmtId="4" fontId="53" fillId="34" borderId="23" xfId="0" applyNumberFormat="1" applyFont="1" applyFill="1" applyBorder="1" applyAlignment="1">
      <alignment horizontal="right" vertical="top" wrapText="1"/>
    </xf>
    <xf numFmtId="4" fontId="53" fillId="33" borderId="23" xfId="0" applyNumberFormat="1" applyFont="1" applyFill="1" applyBorder="1" applyAlignment="1">
      <alignment horizontal="right" vertical="top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vertical="top" wrapText="1"/>
    </xf>
    <xf numFmtId="0" fontId="54" fillId="0" borderId="19" xfId="0" applyFont="1" applyBorder="1" applyAlignment="1">
      <alignment horizontal="center" vertical="top" textRotation="90" wrapText="1"/>
    </xf>
    <xf numFmtId="0" fontId="54" fillId="0" borderId="12" xfId="0" applyFont="1" applyBorder="1" applyAlignment="1">
      <alignment horizontal="center" vertical="top" textRotation="90" wrapText="1"/>
    </xf>
    <xf numFmtId="0" fontId="54" fillId="0" borderId="11" xfId="0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center" textRotation="255" shrinkToFit="1"/>
    </xf>
    <xf numFmtId="49" fontId="55" fillId="0" borderId="19" xfId="0" applyNumberFormat="1" applyFont="1" applyBorder="1" applyAlignment="1">
      <alignment horizontal="justify" wrapText="1" shrinkToFit="1"/>
    </xf>
    <xf numFmtId="49" fontId="55" fillId="0" borderId="19" xfId="0" applyNumberFormat="1" applyFont="1" applyBorder="1" applyAlignment="1">
      <alignment horizontal="center" textRotation="90" wrapText="1" shrinkToFit="1"/>
    </xf>
    <xf numFmtId="0" fontId="54" fillId="35" borderId="14" xfId="0" applyFont="1" applyFill="1" applyBorder="1" applyAlignment="1">
      <alignment horizontal="right" vertical="top" wrapText="1"/>
    </xf>
    <xf numFmtId="0" fontId="53" fillId="34" borderId="16" xfId="0" applyFont="1" applyFill="1" applyBorder="1" applyAlignment="1">
      <alignment horizontal="right" vertical="top" wrapText="1"/>
    </xf>
    <xf numFmtId="0" fontId="53" fillId="34" borderId="18" xfId="0" applyFont="1" applyFill="1" applyBorder="1" applyAlignment="1">
      <alignment horizontal="right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textRotation="90" wrapText="1"/>
    </xf>
    <xf numFmtId="0" fontId="54" fillId="0" borderId="12" xfId="0" applyFont="1" applyBorder="1" applyAlignment="1">
      <alignment horizontal="center" textRotation="90" wrapText="1"/>
    </xf>
    <xf numFmtId="49" fontId="55" fillId="0" borderId="19" xfId="0" applyNumberFormat="1" applyFont="1" applyBorder="1" applyAlignment="1">
      <alignment horizontal="center" wrapText="1" shrinkToFi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right" vertical="top" wrapText="1"/>
    </xf>
    <xf numFmtId="0" fontId="54" fillId="34" borderId="0" xfId="0" applyFont="1" applyFill="1" applyBorder="1" applyAlignment="1">
      <alignment vertical="top" wrapText="1"/>
    </xf>
    <xf numFmtId="4" fontId="54" fillId="34" borderId="0" xfId="0" applyNumberFormat="1" applyFont="1" applyFill="1" applyBorder="1" applyAlignment="1">
      <alignment horizontal="right" vertical="top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vertical="top" wrapText="1"/>
    </xf>
    <xf numFmtId="0" fontId="54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26" xfId="0" applyFont="1" applyBorder="1" applyAlignment="1">
      <alignment/>
    </xf>
    <xf numFmtId="4" fontId="54" fillId="0" borderId="0" xfId="0" applyNumberFormat="1" applyFont="1" applyAlignment="1">
      <alignment/>
    </xf>
    <xf numFmtId="0" fontId="53" fillId="34" borderId="27" xfId="0" applyFont="1" applyFill="1" applyBorder="1" applyAlignment="1">
      <alignment horizontal="right" vertical="top" wrapText="1"/>
    </xf>
    <xf numFmtId="0" fontId="53" fillId="34" borderId="27" xfId="0" applyFont="1" applyFill="1" applyBorder="1" applyAlignment="1">
      <alignment vertical="top" wrapText="1"/>
    </xf>
    <xf numFmtId="4" fontId="53" fillId="34" borderId="27" xfId="0" applyNumberFormat="1" applyFont="1" applyFill="1" applyBorder="1" applyAlignment="1">
      <alignment horizontal="right" vertical="top" wrapText="1"/>
    </xf>
    <xf numFmtId="0" fontId="53" fillId="34" borderId="14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right" vertical="top" wrapText="1"/>
    </xf>
    <xf numFmtId="0" fontId="4" fillId="15" borderId="19" xfId="0" applyFont="1" applyFill="1" applyBorder="1" applyAlignment="1">
      <alignment horizontal="center" vertical="top" wrapText="1"/>
    </xf>
    <xf numFmtId="49" fontId="4" fillId="15" borderId="19" xfId="0" applyNumberFormat="1" applyFont="1" applyFill="1" applyBorder="1" applyAlignment="1">
      <alignment horizontal="center" textRotation="255" shrinkToFit="1"/>
    </xf>
    <xf numFmtId="49" fontId="5" fillId="15" borderId="19" xfId="0" applyNumberFormat="1" applyFont="1" applyFill="1" applyBorder="1" applyAlignment="1">
      <alignment horizontal="center" textRotation="90" wrapText="1" shrinkToFit="1"/>
    </xf>
    <xf numFmtId="49" fontId="5" fillId="15" borderId="19" xfId="0" applyNumberFormat="1" applyFont="1" applyFill="1" applyBorder="1" applyAlignment="1">
      <alignment horizontal="center" wrapText="1" shrinkToFit="1"/>
    </xf>
    <xf numFmtId="0" fontId="4" fillId="15" borderId="19" xfId="0" applyFont="1" applyFill="1" applyBorder="1" applyAlignment="1">
      <alignment horizontal="center" vertical="top" textRotation="90" wrapText="1"/>
    </xf>
    <xf numFmtId="0" fontId="4" fillId="15" borderId="12" xfId="0" applyFont="1" applyFill="1" applyBorder="1" applyAlignment="1">
      <alignment horizontal="center" vertical="top" textRotation="90" wrapText="1"/>
    </xf>
    <xf numFmtId="0" fontId="4" fillId="15" borderId="11" xfId="0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horizontal="center" vertical="top" wrapText="1"/>
    </xf>
    <xf numFmtId="0" fontId="54" fillId="15" borderId="13" xfId="0" applyFont="1" applyFill="1" applyBorder="1" applyAlignment="1">
      <alignment horizontal="right" vertical="top" wrapText="1"/>
    </xf>
    <xf numFmtId="0" fontId="54" fillId="15" borderId="14" xfId="0" applyFont="1" applyFill="1" applyBorder="1" applyAlignment="1">
      <alignment vertical="top" wrapText="1"/>
    </xf>
    <xf numFmtId="4" fontId="54" fillId="15" borderId="14" xfId="0" applyNumberFormat="1" applyFont="1" applyFill="1" applyBorder="1" applyAlignment="1">
      <alignment horizontal="right" vertical="top" wrapText="1"/>
    </xf>
    <xf numFmtId="0" fontId="54" fillId="15" borderId="14" xfId="0" applyFont="1" applyFill="1" applyBorder="1" applyAlignment="1">
      <alignment horizontal="right" vertical="top" wrapText="1"/>
    </xf>
    <xf numFmtId="0" fontId="54" fillId="36" borderId="14" xfId="0" applyFont="1" applyFill="1" applyBorder="1" applyAlignment="1">
      <alignment horizontal="right" vertical="top" wrapText="1"/>
    </xf>
    <xf numFmtId="0" fontId="54" fillId="36" borderId="14" xfId="0" applyFont="1" applyFill="1" applyBorder="1" applyAlignment="1">
      <alignment vertical="top" wrapText="1"/>
    </xf>
    <xf numFmtId="4" fontId="54" fillId="36" borderId="14" xfId="0" applyNumberFormat="1" applyFont="1" applyFill="1" applyBorder="1" applyAlignment="1">
      <alignment horizontal="right" vertical="top" wrapText="1"/>
    </xf>
    <xf numFmtId="0" fontId="54" fillId="36" borderId="13" xfId="0" applyFont="1" applyFill="1" applyBorder="1" applyAlignment="1">
      <alignment horizontal="right" vertical="top" wrapText="1"/>
    </xf>
    <xf numFmtId="0" fontId="54" fillId="19" borderId="19" xfId="0" applyFont="1" applyFill="1" applyBorder="1" applyAlignment="1">
      <alignment horizontal="center" vertical="top" wrapText="1"/>
    </xf>
    <xf numFmtId="49" fontId="54" fillId="19" borderId="19" xfId="0" applyNumberFormat="1" applyFont="1" applyFill="1" applyBorder="1" applyAlignment="1">
      <alignment horizontal="center" textRotation="255" shrinkToFit="1"/>
    </xf>
    <xf numFmtId="49" fontId="55" fillId="19" borderId="19" xfId="0" applyNumberFormat="1" applyFont="1" applyFill="1" applyBorder="1" applyAlignment="1">
      <alignment horizontal="center" textRotation="90" wrapText="1" shrinkToFit="1"/>
    </xf>
    <xf numFmtId="49" fontId="55" fillId="19" borderId="19" xfId="0" applyNumberFormat="1" applyFont="1" applyFill="1" applyBorder="1" applyAlignment="1">
      <alignment horizontal="center" wrapText="1" shrinkToFit="1"/>
    </xf>
    <xf numFmtId="0" fontId="54" fillId="19" borderId="19" xfId="0" applyFont="1" applyFill="1" applyBorder="1" applyAlignment="1">
      <alignment horizontal="center" vertical="top" textRotation="90" wrapText="1"/>
    </xf>
    <xf numFmtId="0" fontId="54" fillId="19" borderId="12" xfId="0" applyFont="1" applyFill="1" applyBorder="1" applyAlignment="1">
      <alignment horizontal="center" vertical="top" textRotation="90" wrapText="1"/>
    </xf>
    <xf numFmtId="0" fontId="54" fillId="19" borderId="11" xfId="0" applyFont="1" applyFill="1" applyBorder="1" applyAlignment="1">
      <alignment horizontal="center" vertical="center" wrapText="1"/>
    </xf>
    <xf numFmtId="49" fontId="54" fillId="19" borderId="11" xfId="0" applyNumberFormat="1" applyFont="1" applyFill="1" applyBorder="1" applyAlignment="1">
      <alignment horizontal="center" vertical="top" wrapText="1"/>
    </xf>
    <xf numFmtId="0" fontId="54" fillId="19" borderId="13" xfId="0" applyFont="1" applyFill="1" applyBorder="1" applyAlignment="1">
      <alignment horizontal="right" vertical="top" wrapText="1"/>
    </xf>
    <xf numFmtId="0" fontId="54" fillId="19" borderId="14" xfId="0" applyFont="1" applyFill="1" applyBorder="1" applyAlignment="1">
      <alignment vertical="top" wrapText="1"/>
    </xf>
    <xf numFmtId="4" fontId="54" fillId="19" borderId="14" xfId="0" applyNumberFormat="1" applyFont="1" applyFill="1" applyBorder="1" applyAlignment="1">
      <alignment horizontal="right" vertical="top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top" wrapText="1"/>
    </xf>
    <xf numFmtId="49" fontId="4" fillId="15" borderId="13" xfId="0" applyNumberFormat="1" applyFont="1" applyFill="1" applyBorder="1" applyAlignment="1">
      <alignment horizontal="center" textRotation="255" shrinkToFit="1"/>
    </xf>
    <xf numFmtId="49" fontId="4" fillId="15" borderId="13" xfId="0" applyNumberFormat="1" applyFont="1" applyFill="1" applyBorder="1" applyAlignment="1">
      <alignment horizontal="center" shrinkToFit="1"/>
    </xf>
    <xf numFmtId="49" fontId="5" fillId="15" borderId="13" xfId="0" applyNumberFormat="1" applyFont="1" applyFill="1" applyBorder="1" applyAlignment="1">
      <alignment horizontal="center" textRotation="90" wrapText="1" shrinkToFit="1"/>
    </xf>
    <xf numFmtId="49" fontId="5" fillId="15" borderId="13" xfId="0" applyNumberFormat="1" applyFont="1" applyFill="1" applyBorder="1" applyAlignment="1">
      <alignment horizontal="center" wrapText="1" shrinkToFit="1"/>
    </xf>
    <xf numFmtId="0" fontId="4" fillId="15" borderId="13" xfId="0" applyFont="1" applyFill="1" applyBorder="1" applyAlignment="1">
      <alignment horizontal="center" vertical="top" textRotation="90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4" fillId="34" borderId="19" xfId="0" applyNumberFormat="1" applyFont="1" applyFill="1" applyBorder="1" applyAlignment="1">
      <alignment horizontal="center" textRotation="255" shrinkToFit="1"/>
    </xf>
    <xf numFmtId="49" fontId="4" fillId="34" borderId="19" xfId="0" applyNumberFormat="1" applyFont="1" applyFill="1" applyBorder="1" applyAlignment="1">
      <alignment horizontal="center" shrinkToFit="1"/>
    </xf>
    <xf numFmtId="49" fontId="6" fillId="34" borderId="13" xfId="0" applyNumberFormat="1" applyFont="1" applyFill="1" applyBorder="1" applyAlignment="1">
      <alignment horizontal="center" vertical="top" wrapText="1" shrinkToFit="1"/>
    </xf>
    <xf numFmtId="0" fontId="5" fillId="15" borderId="14" xfId="0" applyFont="1" applyFill="1" applyBorder="1" applyAlignment="1">
      <alignment horizontal="center" vertical="center" wrapText="1"/>
    </xf>
    <xf numFmtId="4" fontId="54" fillId="34" borderId="14" xfId="0" applyNumberFormat="1" applyFont="1" applyFill="1" applyBorder="1" applyAlignment="1">
      <alignment horizontal="right" vertical="top" wrapText="1"/>
    </xf>
    <xf numFmtId="0" fontId="54" fillId="34" borderId="20" xfId="0" applyFont="1" applyFill="1" applyBorder="1" applyAlignment="1">
      <alignment horizontal="right" vertical="top" wrapText="1"/>
    </xf>
    <xf numFmtId="0" fontId="54" fillId="34" borderId="23" xfId="0" applyFont="1" applyFill="1" applyBorder="1" applyAlignment="1">
      <alignment vertical="top" wrapText="1"/>
    </xf>
    <xf numFmtId="4" fontId="54" fillId="15" borderId="23" xfId="0" applyNumberFormat="1" applyFont="1" applyFill="1" applyBorder="1" applyAlignment="1">
      <alignment horizontal="right" vertical="top" wrapText="1"/>
    </xf>
    <xf numFmtId="0" fontId="8" fillId="34" borderId="12" xfId="0" applyFont="1" applyFill="1" applyBorder="1" applyAlignment="1">
      <alignment horizontal="center" vertical="top" textRotation="90" wrapText="1"/>
    </xf>
    <xf numFmtId="0" fontId="8" fillId="34" borderId="11" xfId="0" applyFont="1" applyFill="1" applyBorder="1" applyAlignment="1">
      <alignment horizontal="left" vertical="center" wrapText="1"/>
    </xf>
    <xf numFmtId="49" fontId="7" fillId="34" borderId="19" xfId="0" applyNumberFormat="1" applyFont="1" applyFill="1" applyBorder="1" applyAlignment="1">
      <alignment horizontal="center" wrapText="1" shrinkToFit="1"/>
    </xf>
    <xf numFmtId="0" fontId="8" fillId="34" borderId="19" xfId="0" applyFont="1" applyFill="1" applyBorder="1" applyAlignment="1">
      <alignment horizontal="center" vertical="top" textRotation="90" wrapText="1"/>
    </xf>
    <xf numFmtId="49" fontId="4" fillId="9" borderId="13" xfId="0" applyNumberFormat="1" applyFont="1" applyFill="1" applyBorder="1" applyAlignment="1">
      <alignment horizontal="center" textRotation="255" shrinkToFit="1"/>
    </xf>
    <xf numFmtId="49" fontId="4" fillId="9" borderId="13" xfId="0" applyNumberFormat="1" applyFont="1" applyFill="1" applyBorder="1" applyAlignment="1">
      <alignment horizontal="center" shrinkToFit="1"/>
    </xf>
    <xf numFmtId="49" fontId="6" fillId="9" borderId="13" xfId="0" applyNumberFormat="1" applyFont="1" applyFill="1" applyBorder="1" applyAlignment="1">
      <alignment horizontal="center" wrapText="1" shrinkToFit="1"/>
    </xf>
    <xf numFmtId="49" fontId="5" fillId="9" borderId="13" xfId="0" applyNumberFormat="1" applyFont="1" applyFill="1" applyBorder="1" applyAlignment="1">
      <alignment horizontal="center" wrapText="1" shrinkToFit="1"/>
    </xf>
    <xf numFmtId="0" fontId="4" fillId="9" borderId="13" xfId="0" applyFont="1" applyFill="1" applyBorder="1" applyAlignment="1">
      <alignment horizontal="center" vertical="top" textRotation="90" wrapText="1"/>
    </xf>
    <xf numFmtId="0" fontId="4" fillId="9" borderId="14" xfId="0" applyFont="1" applyFill="1" applyBorder="1" applyAlignment="1">
      <alignment horizontal="left" vertical="center" wrapText="1"/>
    </xf>
    <xf numFmtId="49" fontId="4" fillId="9" borderId="14" xfId="0" applyNumberFormat="1" applyFont="1" applyFill="1" applyBorder="1" applyAlignment="1">
      <alignment horizontal="center" vertical="top" wrapText="1"/>
    </xf>
    <xf numFmtId="49" fontId="4" fillId="9" borderId="12" xfId="0" applyNumberFormat="1" applyFont="1" applyFill="1" applyBorder="1" applyAlignment="1">
      <alignment horizontal="center" textRotation="255" shrinkToFit="1"/>
    </xf>
    <xf numFmtId="49" fontId="4" fillId="9" borderId="12" xfId="0" applyNumberFormat="1" applyFont="1" applyFill="1" applyBorder="1" applyAlignment="1">
      <alignment horizontal="center" shrinkToFit="1"/>
    </xf>
    <xf numFmtId="49" fontId="6" fillId="9" borderId="19" xfId="0" applyNumberFormat="1" applyFont="1" applyFill="1" applyBorder="1" applyAlignment="1">
      <alignment horizontal="center" vertical="top" wrapText="1" shrinkToFit="1"/>
    </xf>
    <xf numFmtId="49" fontId="5" fillId="9" borderId="12" xfId="0" applyNumberFormat="1" applyFont="1" applyFill="1" applyBorder="1" applyAlignment="1">
      <alignment horizontal="center" wrapText="1" shrinkToFit="1"/>
    </xf>
    <xf numFmtId="0" fontId="4" fillId="9" borderId="12" xfId="0" applyFont="1" applyFill="1" applyBorder="1" applyAlignment="1">
      <alignment horizontal="center" vertical="top" textRotation="90" wrapText="1"/>
    </xf>
    <xf numFmtId="0" fontId="4" fillId="9" borderId="11" xfId="0" applyFont="1" applyFill="1" applyBorder="1" applyAlignment="1">
      <alignment horizontal="left" vertical="center" wrapText="1"/>
    </xf>
    <xf numFmtId="49" fontId="4" fillId="9" borderId="11" xfId="0" applyNumberFormat="1" applyFont="1" applyFill="1" applyBorder="1" applyAlignment="1">
      <alignment horizontal="center" vertical="top" wrapText="1"/>
    </xf>
    <xf numFmtId="0" fontId="54" fillId="9" borderId="28" xfId="0" applyFont="1" applyFill="1" applyBorder="1" applyAlignment="1">
      <alignment/>
    </xf>
    <xf numFmtId="0" fontId="54" fillId="9" borderId="29" xfId="0" applyFont="1" applyFill="1" applyBorder="1" applyAlignment="1">
      <alignment/>
    </xf>
    <xf numFmtId="49" fontId="7" fillId="9" borderId="13" xfId="0" applyNumberFormat="1" applyFont="1" applyFill="1" applyBorder="1" applyAlignment="1">
      <alignment horizontal="center" wrapText="1" shrinkToFit="1"/>
    </xf>
    <xf numFmtId="0" fontId="8" fillId="9" borderId="13" xfId="0" applyFont="1" applyFill="1" applyBorder="1" applyAlignment="1">
      <alignment horizontal="center" vertical="top" textRotation="90" wrapText="1"/>
    </xf>
    <xf numFmtId="0" fontId="8" fillId="9" borderId="11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right" vertical="top" wrapText="1"/>
    </xf>
    <xf numFmtId="4" fontId="54" fillId="34" borderId="23" xfId="0" applyNumberFormat="1" applyFont="1" applyFill="1" applyBorder="1" applyAlignment="1">
      <alignment horizontal="right" vertical="top" wrapText="1"/>
    </xf>
    <xf numFmtId="0" fontId="54" fillId="34" borderId="13" xfId="0" applyFont="1" applyFill="1" applyBorder="1" applyAlignment="1">
      <alignment horizontal="center" vertical="center" wrapText="1"/>
    </xf>
    <xf numFmtId="4" fontId="53" fillId="34" borderId="30" xfId="0" applyNumberFormat="1" applyFont="1" applyFill="1" applyBorder="1" applyAlignment="1">
      <alignment horizontal="right" vertical="top" wrapText="1"/>
    </xf>
    <xf numFmtId="0" fontId="54" fillId="34" borderId="3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right" vertical="top" wrapText="1"/>
    </xf>
    <xf numFmtId="0" fontId="53" fillId="34" borderId="19" xfId="0" applyFont="1" applyFill="1" applyBorder="1" applyAlignment="1">
      <alignment horizontal="right" vertical="top" wrapText="1"/>
    </xf>
    <xf numFmtId="4" fontId="54" fillId="15" borderId="13" xfId="0" applyNumberFormat="1" applyFont="1" applyFill="1" applyBorder="1" applyAlignment="1">
      <alignment horizontal="right" vertical="top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top" wrapText="1"/>
    </xf>
    <xf numFmtId="0" fontId="54" fillId="36" borderId="29" xfId="0" applyFont="1" applyFill="1" applyBorder="1" applyAlignment="1">
      <alignment horizontal="center" vertical="top" textRotation="90" wrapText="1"/>
    </xf>
    <xf numFmtId="49" fontId="54" fillId="36" borderId="29" xfId="0" applyNumberFormat="1" applyFont="1" applyFill="1" applyBorder="1" applyAlignment="1">
      <alignment horizontal="center" vertical="top" wrapText="1"/>
    </xf>
    <xf numFmtId="49" fontId="54" fillId="34" borderId="19" xfId="0" applyNumberFormat="1" applyFont="1" applyFill="1" applyBorder="1" applyAlignment="1">
      <alignment horizontal="center" textRotation="255" shrinkToFit="1"/>
    </xf>
    <xf numFmtId="49" fontId="55" fillId="34" borderId="19" xfId="0" applyNumberFormat="1" applyFont="1" applyFill="1" applyBorder="1" applyAlignment="1">
      <alignment horizontal="center" textRotation="90" wrapText="1" shrinkToFit="1"/>
    </xf>
    <xf numFmtId="49" fontId="55" fillId="34" borderId="19" xfId="0" applyNumberFormat="1" applyFont="1" applyFill="1" applyBorder="1" applyAlignment="1">
      <alignment horizontal="center" wrapText="1" shrinkToFit="1"/>
    </xf>
    <xf numFmtId="0" fontId="4" fillId="36" borderId="11" xfId="0" applyFont="1" applyFill="1" applyBorder="1" applyAlignment="1">
      <alignment horizontal="left" vertical="center" wrapText="1"/>
    </xf>
    <xf numFmtId="4" fontId="54" fillId="36" borderId="23" xfId="0" applyNumberFormat="1" applyFont="1" applyFill="1" applyBorder="1" applyAlignment="1">
      <alignment horizontal="right" vertical="top" wrapText="1"/>
    </xf>
    <xf numFmtId="0" fontId="54" fillId="36" borderId="23" xfId="0" applyFont="1" applyFill="1" applyBorder="1" applyAlignment="1">
      <alignment horizontal="right" vertical="top" wrapText="1"/>
    </xf>
    <xf numFmtId="0" fontId="54" fillId="36" borderId="23" xfId="0" applyFont="1" applyFill="1" applyBorder="1" applyAlignment="1">
      <alignment vertical="top" wrapText="1"/>
    </xf>
    <xf numFmtId="0" fontId="53" fillId="34" borderId="32" xfId="0" applyFont="1" applyFill="1" applyBorder="1" applyAlignment="1">
      <alignment horizontal="right" vertical="top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4" fontId="54" fillId="0" borderId="0" xfId="0" applyNumberFormat="1" applyFont="1" applyAlignment="1">
      <alignment horizontal="left"/>
    </xf>
    <xf numFmtId="0" fontId="54" fillId="35" borderId="20" xfId="0" applyFont="1" applyFill="1" applyBorder="1" applyAlignment="1">
      <alignment horizontal="right" vertical="top" wrapText="1"/>
    </xf>
    <xf numFmtId="4" fontId="54" fillId="35" borderId="23" xfId="0" applyNumberFormat="1" applyFont="1" applyFill="1" applyBorder="1" applyAlignment="1">
      <alignment horizontal="right" vertical="top" wrapText="1"/>
    </xf>
    <xf numFmtId="0" fontId="53" fillId="34" borderId="20" xfId="0" applyFont="1" applyFill="1" applyBorder="1" applyAlignment="1">
      <alignment horizontal="right" vertical="top" wrapText="1"/>
    </xf>
    <xf numFmtId="0" fontId="53" fillId="34" borderId="26" xfId="0" applyFont="1" applyFill="1" applyBorder="1" applyAlignment="1">
      <alignment vertical="top" wrapText="1"/>
    </xf>
    <xf numFmtId="0" fontId="53" fillId="34" borderId="33" xfId="0" applyFont="1" applyFill="1" applyBorder="1" applyAlignment="1">
      <alignment horizontal="right" vertical="top" wrapText="1"/>
    </xf>
    <xf numFmtId="0" fontId="53" fillId="34" borderId="34" xfId="0" applyFont="1" applyFill="1" applyBorder="1" applyAlignment="1">
      <alignment vertical="top" wrapText="1"/>
    </xf>
    <xf numFmtId="0" fontId="53" fillId="34" borderId="35" xfId="0" applyFont="1" applyFill="1" applyBorder="1" applyAlignment="1">
      <alignment horizontal="right" vertical="top" wrapText="1"/>
    </xf>
    <xf numFmtId="0" fontId="53" fillId="34" borderId="36" xfId="0" applyFont="1" applyFill="1" applyBorder="1" applyAlignment="1">
      <alignment vertical="top" wrapText="1"/>
    </xf>
    <xf numFmtId="0" fontId="54" fillId="35" borderId="13" xfId="0" applyFont="1" applyFill="1" applyBorder="1" applyAlignment="1">
      <alignment vertical="top" wrapText="1"/>
    </xf>
    <xf numFmtId="4" fontId="53" fillId="34" borderId="37" xfId="0" applyNumberFormat="1" applyFont="1" applyFill="1" applyBorder="1" applyAlignment="1">
      <alignment horizontal="right"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34" borderId="0" xfId="0" applyFont="1" applyFill="1" applyBorder="1" applyAlignment="1">
      <alignment horizontal="right" vertical="top" wrapText="1"/>
    </xf>
    <xf numFmtId="0" fontId="54" fillId="0" borderId="13" xfId="0" applyFont="1" applyBorder="1" applyAlignment="1">
      <alignment horizontal="right" vertical="top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4" fontId="54" fillId="35" borderId="14" xfId="0" applyNumberFormat="1" applyFont="1" applyFill="1" applyBorder="1" applyAlignment="1">
      <alignment horizontal="right" vertical="top" wrapText="1"/>
    </xf>
    <xf numFmtId="0" fontId="54" fillId="35" borderId="38" xfId="0" applyFont="1" applyFill="1" applyBorder="1" applyAlignment="1">
      <alignment horizontal="right" vertical="top" wrapText="1"/>
    </xf>
    <xf numFmtId="0" fontId="54" fillId="35" borderId="39" xfId="0" applyFont="1" applyFill="1" applyBorder="1" applyAlignment="1">
      <alignment vertical="top" wrapText="1"/>
    </xf>
    <xf numFmtId="4" fontId="54" fillId="35" borderId="13" xfId="0" applyNumberFormat="1" applyFont="1" applyFill="1" applyBorder="1" applyAlignment="1">
      <alignment horizontal="right" vertical="top" wrapText="1"/>
    </xf>
    <xf numFmtId="4" fontId="53" fillId="35" borderId="11" xfId="0" applyNumberFormat="1" applyFont="1" applyFill="1" applyBorder="1" applyAlignment="1">
      <alignment horizontal="right" vertical="top" wrapText="1"/>
    </xf>
    <xf numFmtId="4" fontId="54" fillId="35" borderId="20" xfId="0" applyNumberFormat="1" applyFont="1" applyFill="1" applyBorder="1" applyAlignment="1">
      <alignment horizontal="right" vertical="top" wrapText="1"/>
    </xf>
    <xf numFmtId="49" fontId="7" fillId="34" borderId="23" xfId="0" applyNumberFormat="1" applyFont="1" applyFill="1" applyBorder="1" applyAlignment="1">
      <alignment horizontal="center" wrapText="1" shrinkToFit="1"/>
    </xf>
    <xf numFmtId="0" fontId="53" fillId="34" borderId="23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center"/>
    </xf>
    <xf numFmtId="0" fontId="53" fillId="34" borderId="15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34" borderId="19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vertical="top" wrapText="1"/>
    </xf>
    <xf numFmtId="4" fontId="53" fillId="34" borderId="16" xfId="0" applyNumberFormat="1" applyFont="1" applyFill="1" applyBorder="1" applyAlignment="1">
      <alignment horizontal="right" vertical="top" wrapText="1"/>
    </xf>
    <xf numFmtId="4" fontId="54" fillId="0" borderId="0" xfId="0" applyNumberFormat="1" applyFont="1" applyAlignment="1">
      <alignment/>
    </xf>
    <xf numFmtId="4" fontId="53" fillId="34" borderId="17" xfId="0" applyNumberFormat="1" applyFont="1" applyFill="1" applyBorder="1" applyAlignment="1">
      <alignment horizontal="right" vertical="top" wrapText="1"/>
    </xf>
    <xf numFmtId="0" fontId="5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4" fillId="34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4" fontId="54" fillId="0" borderId="0" xfId="0" applyNumberFormat="1" applyFont="1" applyAlignment="1">
      <alignment horizontal="right"/>
    </xf>
    <xf numFmtId="4" fontId="9" fillId="34" borderId="18" xfId="0" applyNumberFormat="1" applyFont="1" applyFill="1" applyBorder="1" applyAlignment="1">
      <alignment horizontal="right" vertical="top" wrapText="1"/>
    </xf>
    <xf numFmtId="4" fontId="9" fillId="34" borderId="10" xfId="0" applyNumberFormat="1" applyFont="1" applyFill="1" applyBorder="1" applyAlignment="1">
      <alignment horizontal="right" vertical="top" wrapText="1"/>
    </xf>
    <xf numFmtId="4" fontId="54" fillId="0" borderId="0" xfId="0" applyNumberFormat="1" applyFont="1" applyAlignment="1">
      <alignment horizontal="right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4" fontId="54" fillId="15" borderId="0" xfId="0" applyNumberFormat="1" applyFont="1" applyFill="1" applyBorder="1" applyAlignment="1">
      <alignment horizontal="right" vertical="top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4" fillId="35" borderId="38" xfId="0" applyFont="1" applyFill="1" applyBorder="1" applyAlignment="1">
      <alignment horizontal="center" vertical="top" wrapText="1"/>
    </xf>
    <xf numFmtId="0" fontId="54" fillId="35" borderId="39" xfId="0" applyFont="1" applyFill="1" applyBorder="1" applyAlignment="1">
      <alignment horizontal="left" vertical="top" wrapText="1"/>
    </xf>
    <xf numFmtId="4" fontId="54" fillId="35" borderId="13" xfId="0" applyNumberFormat="1" applyFont="1" applyFill="1" applyBorder="1" applyAlignment="1">
      <alignment horizontal="left" vertical="top" wrapText="1"/>
    </xf>
    <xf numFmtId="0" fontId="54" fillId="34" borderId="41" xfId="0" applyFont="1" applyFill="1" applyBorder="1" applyAlignment="1">
      <alignment horizontal="center" vertical="top" wrapText="1"/>
    </xf>
    <xf numFmtId="0" fontId="53" fillId="34" borderId="42" xfId="0" applyFont="1" applyFill="1" applyBorder="1" applyAlignment="1">
      <alignment vertical="top" wrapText="1"/>
    </xf>
    <xf numFmtId="4" fontId="53" fillId="34" borderId="26" xfId="0" applyNumberFormat="1" applyFont="1" applyFill="1" applyBorder="1" applyAlignment="1">
      <alignment horizontal="left" vertical="top" wrapText="1"/>
    </xf>
    <xf numFmtId="4" fontId="53" fillId="34" borderId="13" xfId="0" applyNumberFormat="1" applyFont="1" applyFill="1" applyBorder="1" applyAlignment="1">
      <alignment horizontal="right" vertical="top" wrapText="1"/>
    </xf>
    <xf numFmtId="4" fontId="53" fillId="34" borderId="20" xfId="0" applyNumberFormat="1" applyFont="1" applyFill="1" applyBorder="1" applyAlignment="1">
      <alignment horizontal="right" vertical="top" wrapText="1"/>
    </xf>
    <xf numFmtId="4" fontId="54" fillId="35" borderId="43" xfId="0" applyNumberFormat="1" applyFont="1" applyFill="1" applyBorder="1" applyAlignment="1">
      <alignment horizontal="right" vertical="top" wrapText="1"/>
    </xf>
    <xf numFmtId="4" fontId="53" fillId="33" borderId="35" xfId="0" applyNumberFormat="1" applyFont="1" applyFill="1" applyBorder="1" applyAlignment="1">
      <alignment horizontal="right" vertical="top" wrapText="1"/>
    </xf>
    <xf numFmtId="4" fontId="53" fillId="34" borderId="35" xfId="0" applyNumberFormat="1" applyFont="1" applyFill="1" applyBorder="1" applyAlignment="1">
      <alignment horizontal="right" vertical="top" wrapText="1"/>
    </xf>
    <xf numFmtId="0" fontId="53" fillId="34" borderId="35" xfId="0" applyFont="1" applyFill="1" applyBorder="1" applyAlignment="1">
      <alignment vertical="top" wrapText="1"/>
    </xf>
    <xf numFmtId="0" fontId="54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top" wrapText="1"/>
      <protection locked="0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right" vertical="top" wrapText="1"/>
    </xf>
    <xf numFmtId="0" fontId="53" fillId="34" borderId="44" xfId="0" applyFont="1" applyFill="1" applyBorder="1" applyAlignment="1">
      <alignment horizontal="right" vertical="top" wrapText="1"/>
    </xf>
    <xf numFmtId="0" fontId="53" fillId="34" borderId="45" xfId="0" applyFont="1" applyFill="1" applyBorder="1" applyAlignment="1">
      <alignment horizontal="right" vertical="top" wrapText="1"/>
    </xf>
    <xf numFmtId="0" fontId="2" fillId="0" borderId="46" xfId="0" applyFont="1" applyBorder="1" applyAlignment="1" applyProtection="1">
      <alignment vertical="center" wrapText="1"/>
      <protection locked="0"/>
    </xf>
    <xf numFmtId="0" fontId="53" fillId="34" borderId="0" xfId="0" applyFont="1" applyFill="1" applyBorder="1" applyAlignment="1">
      <alignment horizontal="right" vertical="top" wrapText="1"/>
    </xf>
    <xf numFmtId="0" fontId="53" fillId="33" borderId="47" xfId="0" applyFont="1" applyFill="1" applyBorder="1" applyAlignment="1">
      <alignment vertical="top" wrapText="1"/>
    </xf>
    <xf numFmtId="4" fontId="53" fillId="34" borderId="15" xfId="0" applyNumberFormat="1" applyFont="1" applyFill="1" applyBorder="1" applyAlignment="1">
      <alignment horizontal="right" vertical="top" wrapText="1"/>
    </xf>
    <xf numFmtId="0" fontId="53" fillId="33" borderId="35" xfId="0" applyFont="1" applyFill="1" applyBorder="1" applyAlignment="1">
      <alignment vertical="top" wrapText="1"/>
    </xf>
    <xf numFmtId="0" fontId="53" fillId="34" borderId="48" xfId="0" applyFont="1" applyFill="1" applyBorder="1" applyAlignment="1">
      <alignment vertical="top" wrapText="1"/>
    </xf>
    <xf numFmtId="0" fontId="53" fillId="34" borderId="49" xfId="0" applyFont="1" applyFill="1" applyBorder="1" applyAlignment="1">
      <alignment vertical="top" wrapText="1"/>
    </xf>
    <xf numFmtId="0" fontId="2" fillId="0" borderId="50" xfId="0" applyFont="1" applyBorder="1" applyAlignment="1" applyProtection="1">
      <alignment vertical="center" wrapText="1"/>
      <protection locked="0"/>
    </xf>
    <xf numFmtId="4" fontId="2" fillId="0" borderId="51" xfId="0" applyNumberFormat="1" applyFont="1" applyBorder="1" applyAlignment="1" applyProtection="1">
      <alignment vertical="top" wrapText="1"/>
      <protection locked="0"/>
    </xf>
    <xf numFmtId="4" fontId="2" fillId="0" borderId="17" xfId="0" applyNumberFormat="1" applyFont="1" applyBorder="1" applyAlignment="1" applyProtection="1">
      <alignment vertical="top" wrapText="1"/>
      <protection locked="0"/>
    </xf>
    <xf numFmtId="4" fontId="53" fillId="34" borderId="45" xfId="0" applyNumberFormat="1" applyFont="1" applyFill="1" applyBorder="1" applyAlignment="1">
      <alignment horizontal="right" vertical="top" wrapText="1"/>
    </xf>
    <xf numFmtId="4" fontId="53" fillId="34" borderId="52" xfId="0" applyNumberFormat="1" applyFont="1" applyFill="1" applyBorder="1" applyAlignment="1">
      <alignment horizontal="right" vertical="top" wrapText="1"/>
    </xf>
    <xf numFmtId="4" fontId="53" fillId="33" borderId="22" xfId="0" applyNumberFormat="1" applyFont="1" applyFill="1" applyBorder="1" applyAlignment="1">
      <alignment horizontal="right" vertical="top" wrapText="1"/>
    </xf>
    <xf numFmtId="0" fontId="54" fillId="33" borderId="53" xfId="0" applyFont="1" applyFill="1" applyBorder="1" applyAlignment="1">
      <alignment horizontal="right" vertical="top" wrapText="1"/>
    </xf>
    <xf numFmtId="0" fontId="53" fillId="34" borderId="22" xfId="0" applyFont="1" applyFill="1" applyBorder="1" applyAlignment="1">
      <alignment horizontal="right" vertical="top" wrapText="1"/>
    </xf>
    <xf numFmtId="0" fontId="53" fillId="34" borderId="45" xfId="0" applyFont="1" applyFill="1" applyBorder="1" applyAlignment="1">
      <alignment vertical="top" wrapText="1"/>
    </xf>
    <xf numFmtId="4" fontId="53" fillId="34" borderId="45" xfId="0" applyNumberFormat="1" applyFont="1" applyFill="1" applyBorder="1" applyAlignment="1">
      <alignment horizontal="right" vertical="top" wrapText="1"/>
    </xf>
    <xf numFmtId="4" fontId="53" fillId="33" borderId="45" xfId="0" applyNumberFormat="1" applyFont="1" applyFill="1" applyBorder="1" applyAlignment="1">
      <alignment horizontal="right" vertical="top" wrapText="1"/>
    </xf>
    <xf numFmtId="4" fontId="53" fillId="33" borderId="17" xfId="0" applyNumberFormat="1" applyFont="1" applyFill="1" applyBorder="1" applyAlignment="1">
      <alignment horizontal="right" vertical="top" wrapText="1"/>
    </xf>
    <xf numFmtId="4" fontId="53" fillId="33" borderId="54" xfId="0" applyNumberFormat="1" applyFont="1" applyFill="1" applyBorder="1" applyAlignment="1">
      <alignment horizontal="right" vertical="top" wrapText="1"/>
    </xf>
    <xf numFmtId="4" fontId="53" fillId="34" borderId="32" xfId="0" applyNumberFormat="1" applyFont="1" applyFill="1" applyBorder="1" applyAlignment="1">
      <alignment horizontal="right" vertical="top" wrapText="1"/>
    </xf>
    <xf numFmtId="4" fontId="53" fillId="34" borderId="19" xfId="0" applyNumberFormat="1" applyFont="1" applyFill="1" applyBorder="1" applyAlignment="1">
      <alignment horizontal="right" vertical="top" wrapText="1"/>
    </xf>
    <xf numFmtId="4" fontId="53" fillId="0" borderId="17" xfId="0" applyNumberFormat="1" applyFont="1" applyBorder="1" applyAlignment="1">
      <alignment vertical="top"/>
    </xf>
    <xf numFmtId="0" fontId="53" fillId="33" borderId="17" xfId="0" applyFont="1" applyFill="1" applyBorder="1" applyAlignment="1">
      <alignment horizontal="right" vertical="top" wrapText="1"/>
    </xf>
    <xf numFmtId="4" fontId="53" fillId="0" borderId="10" xfId="0" applyNumberFormat="1" applyFont="1" applyBorder="1" applyAlignment="1">
      <alignment vertical="top"/>
    </xf>
    <xf numFmtId="0" fontId="53" fillId="33" borderId="33" xfId="0" applyFont="1" applyFill="1" applyBorder="1" applyAlignment="1">
      <alignment vertical="top" wrapText="1"/>
    </xf>
    <xf numFmtId="0" fontId="53" fillId="33" borderId="32" xfId="0" applyFont="1" applyFill="1" applyBorder="1" applyAlignment="1">
      <alignment horizontal="right" vertical="top" wrapText="1"/>
    </xf>
    <xf numFmtId="0" fontId="53" fillId="34" borderId="17" xfId="0" applyFont="1" applyFill="1" applyBorder="1" applyAlignment="1">
      <alignment vertical="top" wrapText="1"/>
    </xf>
    <xf numFmtId="4" fontId="53" fillId="34" borderId="22" xfId="0" applyNumberFormat="1" applyFont="1" applyFill="1" applyBorder="1" applyAlignment="1">
      <alignment horizontal="right" vertical="top" wrapText="1"/>
    </xf>
    <xf numFmtId="4" fontId="53" fillId="34" borderId="53" xfId="0" applyNumberFormat="1" applyFont="1" applyFill="1" applyBorder="1" applyAlignment="1">
      <alignment horizontal="right" vertical="top" wrapText="1"/>
    </xf>
    <xf numFmtId="0" fontId="53" fillId="34" borderId="32" xfId="0" applyFont="1" applyFill="1" applyBorder="1" applyAlignment="1">
      <alignment vertical="top" wrapText="1"/>
    </xf>
    <xf numFmtId="4" fontId="54" fillId="35" borderId="55" xfId="0" applyNumberFormat="1" applyFont="1" applyFill="1" applyBorder="1" applyAlignment="1">
      <alignment horizontal="right" vertical="top" wrapText="1"/>
    </xf>
    <xf numFmtId="4" fontId="54" fillId="35" borderId="21" xfId="0" applyNumberFormat="1" applyFont="1" applyFill="1" applyBorder="1" applyAlignment="1">
      <alignment horizontal="right" vertical="top" wrapText="1"/>
    </xf>
    <xf numFmtId="0" fontId="54" fillId="35" borderId="20" xfId="0" applyFont="1" applyFill="1" applyBorder="1" applyAlignment="1">
      <alignment vertical="top" wrapText="1"/>
    </xf>
    <xf numFmtId="0" fontId="54" fillId="35" borderId="21" xfId="0" applyFont="1" applyFill="1" applyBorder="1" applyAlignment="1">
      <alignment vertical="top" wrapText="1"/>
    </xf>
    <xf numFmtId="0" fontId="53" fillId="34" borderId="13" xfId="0" applyFont="1" applyFill="1" applyBorder="1" applyAlignment="1">
      <alignment vertical="top" wrapText="1"/>
    </xf>
    <xf numFmtId="4" fontId="53" fillId="34" borderId="33" xfId="0" applyNumberFormat="1" applyFont="1" applyFill="1" applyBorder="1" applyAlignment="1">
      <alignment horizontal="right" vertical="top" wrapText="1"/>
    </xf>
    <xf numFmtId="0" fontId="9" fillId="34" borderId="17" xfId="0" applyFont="1" applyFill="1" applyBorder="1" applyAlignment="1">
      <alignment horizontal="right" vertical="top" wrapText="1"/>
    </xf>
    <xf numFmtId="0" fontId="9" fillId="34" borderId="18" xfId="0" applyFont="1" applyFill="1" applyBorder="1" applyAlignment="1">
      <alignment wrapText="1"/>
    </xf>
    <xf numFmtId="0" fontId="53" fillId="34" borderId="10" xfId="0" applyFont="1" applyFill="1" applyBorder="1" applyAlignment="1">
      <alignment vertical="top" wrapText="1"/>
    </xf>
    <xf numFmtId="0" fontId="54" fillId="35" borderId="19" xfId="0" applyFont="1" applyFill="1" applyBorder="1" applyAlignment="1">
      <alignment horizontal="right" vertical="top" wrapText="1"/>
    </xf>
    <xf numFmtId="0" fontId="54" fillId="35" borderId="10" xfId="0" applyFont="1" applyFill="1" applyBorder="1" applyAlignment="1">
      <alignment vertical="top" wrapText="1"/>
    </xf>
    <xf numFmtId="0" fontId="53" fillId="34" borderId="15" xfId="0" applyFont="1" applyFill="1" applyBorder="1" applyAlignment="1">
      <alignment vertical="top" wrapText="1"/>
    </xf>
    <xf numFmtId="0" fontId="53" fillId="34" borderId="33" xfId="0" applyFont="1" applyFill="1" applyBorder="1" applyAlignment="1">
      <alignment vertical="top" wrapText="1"/>
    </xf>
    <xf numFmtId="0" fontId="53" fillId="34" borderId="17" xfId="0" applyFont="1" applyFill="1" applyBorder="1" applyAlignment="1">
      <alignment vertical="top" wrapText="1"/>
    </xf>
    <xf numFmtId="0" fontId="2" fillId="0" borderId="12" xfId="0" applyFont="1" applyBorder="1" applyAlignment="1" applyProtection="1">
      <alignment vertical="center" wrapText="1"/>
      <protection locked="0"/>
    </xf>
    <xf numFmtId="4" fontId="53" fillId="34" borderId="44" xfId="0" applyNumberFormat="1" applyFont="1" applyFill="1" applyBorder="1" applyAlignment="1">
      <alignment horizontal="right" vertical="top" wrapText="1"/>
    </xf>
    <xf numFmtId="0" fontId="53" fillId="34" borderId="56" xfId="0" applyFont="1" applyFill="1" applyBorder="1" applyAlignment="1">
      <alignment horizontal="right" vertical="top" wrapText="1"/>
    </xf>
    <xf numFmtId="0" fontId="53" fillId="33" borderId="34" xfId="0" applyFont="1" applyFill="1" applyBorder="1" applyAlignment="1">
      <alignment vertical="top" wrapText="1"/>
    </xf>
    <xf numFmtId="4" fontId="53" fillId="34" borderId="36" xfId="0" applyNumberFormat="1" applyFont="1" applyFill="1" applyBorder="1" applyAlignment="1">
      <alignment horizontal="right" vertical="top" wrapText="1"/>
    </xf>
    <xf numFmtId="4" fontId="53" fillId="34" borderId="56" xfId="0" applyNumberFormat="1" applyFont="1" applyFill="1" applyBorder="1" applyAlignment="1">
      <alignment horizontal="right" vertical="top" wrapText="1"/>
    </xf>
    <xf numFmtId="0" fontId="53" fillId="34" borderId="31" xfId="0" applyFont="1" applyFill="1" applyBorder="1" applyAlignment="1">
      <alignment horizontal="right" vertical="top" wrapText="1"/>
    </xf>
    <xf numFmtId="0" fontId="54" fillId="15" borderId="0" xfId="0" applyFont="1" applyFill="1" applyBorder="1" applyAlignment="1">
      <alignment horizontal="right" vertical="top" wrapText="1"/>
    </xf>
    <xf numFmtId="4" fontId="54" fillId="15" borderId="57" xfId="0" applyNumberFormat="1" applyFont="1" applyFill="1" applyBorder="1" applyAlignment="1">
      <alignment horizontal="right" vertical="top" wrapText="1"/>
    </xf>
    <xf numFmtId="0" fontId="54" fillId="15" borderId="24" xfId="0" applyFont="1" applyFill="1" applyBorder="1" applyAlignment="1">
      <alignment vertical="top" wrapText="1"/>
    </xf>
    <xf numFmtId="4" fontId="54" fillId="15" borderId="24" xfId="0" applyNumberFormat="1" applyFont="1" applyFill="1" applyBorder="1" applyAlignment="1">
      <alignment horizontal="right" vertical="top" wrapText="1"/>
    </xf>
    <xf numFmtId="4" fontId="54" fillId="15" borderId="20" xfId="0" applyNumberFormat="1" applyFont="1" applyFill="1" applyBorder="1" applyAlignment="1">
      <alignment horizontal="right" vertical="top" wrapText="1"/>
    </xf>
    <xf numFmtId="4" fontId="53" fillId="34" borderId="57" xfId="0" applyNumberFormat="1" applyFont="1" applyFill="1" applyBorder="1" applyAlignment="1">
      <alignment horizontal="right" vertical="top" wrapText="1"/>
    </xf>
    <xf numFmtId="0" fontId="54" fillId="15" borderId="58" xfId="0" applyFont="1" applyFill="1" applyBorder="1" applyAlignment="1">
      <alignment horizontal="right" vertical="top" wrapText="1"/>
    </xf>
    <xf numFmtId="0" fontId="54" fillId="15" borderId="40" xfId="0" applyFont="1" applyFill="1" applyBorder="1" applyAlignment="1">
      <alignment vertical="top" wrapText="1"/>
    </xf>
    <xf numFmtId="0" fontId="54" fillId="15" borderId="13" xfId="0" applyFont="1" applyFill="1" applyBorder="1" applyAlignment="1">
      <alignment vertical="top" wrapText="1"/>
    </xf>
    <xf numFmtId="0" fontId="53" fillId="34" borderId="31" xfId="0" applyFont="1" applyFill="1" applyBorder="1" applyAlignment="1">
      <alignment vertical="top" wrapText="1"/>
    </xf>
    <xf numFmtId="4" fontId="53" fillId="34" borderId="31" xfId="0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35" xfId="0" applyFont="1" applyFill="1" applyBorder="1" applyAlignment="1">
      <alignment horizontal="left" vertical="center" wrapText="1"/>
    </xf>
    <xf numFmtId="4" fontId="53" fillId="34" borderId="34" xfId="0" applyNumberFormat="1" applyFont="1" applyFill="1" applyBorder="1" applyAlignment="1">
      <alignment horizontal="right" vertical="top" wrapText="1"/>
    </xf>
    <xf numFmtId="4" fontId="53" fillId="34" borderId="12" xfId="0" applyNumberFormat="1" applyFont="1" applyFill="1" applyBorder="1" applyAlignment="1">
      <alignment horizontal="right" vertical="top" wrapText="1"/>
    </xf>
    <xf numFmtId="0" fontId="53" fillId="34" borderId="53" xfId="0" applyFont="1" applyFill="1" applyBorder="1" applyAlignment="1">
      <alignment vertical="top" wrapText="1"/>
    </xf>
    <xf numFmtId="0" fontId="54" fillId="34" borderId="20" xfId="0" applyFont="1" applyFill="1" applyBorder="1" applyAlignment="1">
      <alignment horizontal="center" vertical="center" wrapText="1"/>
    </xf>
    <xf numFmtId="4" fontId="53" fillId="34" borderId="23" xfId="0" applyNumberFormat="1" applyFont="1" applyFill="1" applyBorder="1" applyAlignment="1">
      <alignment horizontal="right" vertical="top" wrapText="1"/>
    </xf>
    <xf numFmtId="0" fontId="54" fillId="34" borderId="19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top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59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right" vertical="top" wrapText="1"/>
    </xf>
    <xf numFmtId="4" fontId="9" fillId="34" borderId="15" xfId="0" applyNumberFormat="1" applyFont="1" applyFill="1" applyBorder="1" applyAlignment="1">
      <alignment horizontal="right" vertical="top" wrapText="1"/>
    </xf>
    <xf numFmtId="4" fontId="9" fillId="34" borderId="23" xfId="0" applyNumberFormat="1" applyFont="1" applyFill="1" applyBorder="1" applyAlignment="1">
      <alignment horizontal="right" vertical="top" wrapText="1"/>
    </xf>
    <xf numFmtId="4" fontId="9" fillId="34" borderId="35" xfId="0" applyNumberFormat="1" applyFont="1" applyFill="1" applyBorder="1" applyAlignment="1">
      <alignment horizontal="right" vertical="top" wrapText="1"/>
    </xf>
    <xf numFmtId="0" fontId="53" fillId="34" borderId="15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45" xfId="0" applyFont="1" applyFill="1" applyBorder="1" applyAlignment="1">
      <alignment horizontal="left" vertical="center" wrapText="1"/>
    </xf>
    <xf numFmtId="0" fontId="53" fillId="34" borderId="35" xfId="0" applyFont="1" applyFill="1" applyBorder="1" applyAlignment="1">
      <alignment horizontal="left" vertical="center" wrapText="1"/>
    </xf>
    <xf numFmtId="4" fontId="53" fillId="34" borderId="45" xfId="0" applyNumberFormat="1" applyFont="1" applyFill="1" applyBorder="1" applyAlignment="1">
      <alignment horizontal="right" vertical="center" wrapText="1"/>
    </xf>
    <xf numFmtId="4" fontId="53" fillId="34" borderId="17" xfId="0" applyNumberFormat="1" applyFont="1" applyFill="1" applyBorder="1" applyAlignment="1">
      <alignment horizontal="right" vertical="center" wrapText="1"/>
    </xf>
    <xf numFmtId="4" fontId="53" fillId="34" borderId="15" xfId="0" applyNumberFormat="1" applyFont="1" applyFill="1" applyBorder="1" applyAlignment="1">
      <alignment vertical="center" wrapText="1"/>
    </xf>
    <xf numFmtId="4" fontId="53" fillId="34" borderId="22" xfId="0" applyNumberFormat="1" applyFont="1" applyFill="1" applyBorder="1" applyAlignment="1">
      <alignment horizontal="right" vertical="center" wrapText="1"/>
    </xf>
    <xf numFmtId="4" fontId="53" fillId="34" borderId="51" xfId="0" applyNumberFormat="1" applyFont="1" applyFill="1" applyBorder="1" applyAlignment="1">
      <alignment horizontal="right" vertical="center" wrapText="1"/>
    </xf>
    <xf numFmtId="4" fontId="53" fillId="34" borderId="36" xfId="0" applyNumberFormat="1" applyFont="1" applyFill="1" applyBorder="1" applyAlignment="1">
      <alignment horizontal="right" vertical="center" wrapText="1"/>
    </xf>
    <xf numFmtId="4" fontId="53" fillId="34" borderId="35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4" fontId="53" fillId="34" borderId="47" xfId="0" applyNumberFormat="1" applyFont="1" applyFill="1" applyBorder="1" applyAlignment="1">
      <alignment horizontal="right" vertical="center" wrapText="1"/>
    </xf>
    <xf numFmtId="0" fontId="53" fillId="34" borderId="43" xfId="0" applyFont="1" applyFill="1" applyBorder="1" applyAlignment="1">
      <alignment vertical="top" wrapText="1"/>
    </xf>
    <xf numFmtId="4" fontId="53" fillId="34" borderId="60" xfId="0" applyNumberFormat="1" applyFont="1" applyFill="1" applyBorder="1" applyAlignment="1">
      <alignment horizontal="right" vertical="top" wrapText="1"/>
    </xf>
    <xf numFmtId="4" fontId="53" fillId="34" borderId="49" xfId="0" applyNumberFormat="1" applyFont="1" applyFill="1" applyBorder="1" applyAlignment="1">
      <alignment horizontal="right" vertical="top" wrapText="1"/>
    </xf>
    <xf numFmtId="0" fontId="54" fillId="34" borderId="54" xfId="0" applyFont="1" applyFill="1" applyBorder="1" applyAlignment="1">
      <alignment horizontal="center" vertical="center" wrapText="1"/>
    </xf>
    <xf numFmtId="0" fontId="53" fillId="34" borderId="61" xfId="0" applyFont="1" applyFill="1" applyBorder="1" applyAlignment="1">
      <alignment horizontal="right" vertical="top" wrapText="1"/>
    </xf>
    <xf numFmtId="0" fontId="53" fillId="34" borderId="46" xfId="0" applyFont="1" applyFill="1" applyBorder="1" applyAlignment="1">
      <alignment vertical="top" wrapText="1"/>
    </xf>
    <xf numFmtId="4" fontId="54" fillId="9" borderId="13" xfId="0" applyNumberFormat="1" applyFont="1" applyFill="1" applyBorder="1" applyAlignment="1">
      <alignment/>
    </xf>
    <xf numFmtId="0" fontId="54" fillId="9" borderId="32" xfId="0" applyFont="1" applyFill="1" applyBorder="1" applyAlignment="1">
      <alignment/>
    </xf>
    <xf numFmtId="4" fontId="54" fillId="9" borderId="14" xfId="0" applyNumberFormat="1" applyFont="1" applyFill="1" applyBorder="1" applyAlignment="1">
      <alignment/>
    </xf>
    <xf numFmtId="0" fontId="54" fillId="9" borderId="35" xfId="0" applyFont="1" applyFill="1" applyBorder="1" applyAlignment="1">
      <alignment/>
    </xf>
    <xf numFmtId="0" fontId="54" fillId="9" borderId="54" xfId="0" applyFont="1" applyFill="1" applyBorder="1" applyAlignment="1">
      <alignment/>
    </xf>
    <xf numFmtId="4" fontId="54" fillId="9" borderId="20" xfId="0" applyNumberFormat="1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 wrapText="1" shrinkToFit="1"/>
    </xf>
    <xf numFmtId="0" fontId="54" fillId="9" borderId="42" xfId="0" applyFont="1" applyFill="1" applyBorder="1" applyAlignment="1">
      <alignment wrapText="1"/>
    </xf>
    <xf numFmtId="0" fontId="4" fillId="35" borderId="13" xfId="0" applyFont="1" applyFill="1" applyBorder="1" applyAlignment="1">
      <alignment horizontal="left" vertical="center" wrapText="1"/>
    </xf>
    <xf numFmtId="4" fontId="53" fillId="34" borderId="35" xfId="0" applyNumberFormat="1" applyFont="1" applyFill="1" applyBorder="1" applyAlignment="1">
      <alignment/>
    </xf>
    <xf numFmtId="4" fontId="53" fillId="34" borderId="56" xfId="0" applyNumberFormat="1" applyFont="1" applyFill="1" applyBorder="1" applyAlignment="1">
      <alignment/>
    </xf>
    <xf numFmtId="0" fontId="54" fillId="9" borderId="0" xfId="0" applyFont="1" applyFill="1" applyBorder="1" applyAlignment="1">
      <alignment/>
    </xf>
    <xf numFmtId="4" fontId="54" fillId="0" borderId="26" xfId="0" applyNumberFormat="1" applyFont="1" applyBorder="1" applyAlignment="1">
      <alignment/>
    </xf>
    <xf numFmtId="0" fontId="54" fillId="9" borderId="62" xfId="0" applyFont="1" applyFill="1" applyBorder="1" applyAlignment="1">
      <alignment/>
    </xf>
    <xf numFmtId="0" fontId="54" fillId="9" borderId="41" xfId="0" applyFont="1" applyFill="1" applyBorder="1" applyAlignment="1">
      <alignment/>
    </xf>
    <xf numFmtId="0" fontId="54" fillId="9" borderId="63" xfId="0" applyFont="1" applyFill="1" applyBorder="1" applyAlignment="1">
      <alignment/>
    </xf>
    <xf numFmtId="0" fontId="54" fillId="9" borderId="64" xfId="0" applyFont="1" applyFill="1" applyBorder="1" applyAlignment="1">
      <alignment/>
    </xf>
    <xf numFmtId="0" fontId="54" fillId="9" borderId="20" xfId="0" applyFont="1" applyFill="1" applyBorder="1" applyAlignment="1">
      <alignment/>
    </xf>
    <xf numFmtId="0" fontId="8" fillId="9" borderId="13" xfId="0" applyFont="1" applyFill="1" applyBorder="1" applyAlignment="1">
      <alignment horizontal="left" vertical="center" wrapText="1"/>
    </xf>
    <xf numFmtId="0" fontId="54" fillId="9" borderId="13" xfId="0" applyFont="1" applyFill="1" applyBorder="1" applyAlignment="1">
      <alignment/>
    </xf>
    <xf numFmtId="4" fontId="54" fillId="9" borderId="36" xfId="0" applyNumberFormat="1" applyFont="1" applyFill="1" applyBorder="1" applyAlignment="1">
      <alignment/>
    </xf>
    <xf numFmtId="4" fontId="54" fillId="9" borderId="31" xfId="0" applyNumberFormat="1" applyFont="1" applyFill="1" applyBorder="1" applyAlignment="1">
      <alignment/>
    </xf>
    <xf numFmtId="4" fontId="54" fillId="35" borderId="13" xfId="0" applyNumberFormat="1" applyFont="1" applyFill="1" applyBorder="1" applyAlignment="1">
      <alignment/>
    </xf>
    <xf numFmtId="0" fontId="54" fillId="34" borderId="64" xfId="0" applyFont="1" applyFill="1" applyBorder="1" applyAlignment="1">
      <alignment horizontal="center" vertical="center" wrapText="1"/>
    </xf>
    <xf numFmtId="0" fontId="54" fillId="9" borderId="40" xfId="0" applyFont="1" applyFill="1" applyBorder="1" applyAlignment="1">
      <alignment/>
    </xf>
    <xf numFmtId="0" fontId="54" fillId="9" borderId="65" xfId="0" applyFont="1" applyFill="1" applyBorder="1" applyAlignment="1">
      <alignment/>
    </xf>
    <xf numFmtId="0" fontId="54" fillId="9" borderId="23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54" fillId="34" borderId="40" xfId="0" applyFont="1" applyFill="1" applyBorder="1" applyAlignment="1">
      <alignment/>
    </xf>
    <xf numFmtId="0" fontId="54" fillId="34" borderId="39" xfId="0" applyFont="1" applyFill="1" applyBorder="1" applyAlignment="1">
      <alignment/>
    </xf>
    <xf numFmtId="0" fontId="54" fillId="34" borderId="42" xfId="0" applyFont="1" applyFill="1" applyBorder="1" applyAlignment="1">
      <alignment/>
    </xf>
    <xf numFmtId="0" fontId="54" fillId="34" borderId="19" xfId="0" applyFont="1" applyFill="1" applyBorder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0" fontId="9" fillId="34" borderId="35" xfId="0" applyFont="1" applyFill="1" applyBorder="1" applyAlignment="1">
      <alignment horizontal="left" vertical="center" wrapText="1"/>
    </xf>
    <xf numFmtId="4" fontId="53" fillId="34" borderId="36" xfId="0" applyNumberFormat="1" applyFont="1" applyFill="1" applyBorder="1" applyAlignment="1">
      <alignment/>
    </xf>
    <xf numFmtId="4" fontId="54" fillId="35" borderId="20" xfId="0" applyNumberFormat="1" applyFont="1" applyFill="1" applyBorder="1" applyAlignment="1">
      <alignment/>
    </xf>
    <xf numFmtId="4" fontId="53" fillId="34" borderId="15" xfId="0" applyNumberFormat="1" applyFont="1" applyFill="1" applyBorder="1" applyAlignment="1">
      <alignment/>
    </xf>
    <xf numFmtId="4" fontId="53" fillId="34" borderId="33" xfId="0" applyNumberFormat="1" applyFont="1" applyFill="1" applyBorder="1" applyAlignment="1">
      <alignment/>
    </xf>
    <xf numFmtId="0" fontId="54" fillId="34" borderId="42" xfId="0" applyFont="1" applyFill="1" applyBorder="1" applyAlignment="1">
      <alignment horizontal="center" vertical="center" wrapText="1"/>
    </xf>
    <xf numFmtId="0" fontId="54" fillId="34" borderId="40" xfId="0" applyFont="1" applyFill="1" applyBorder="1" applyAlignment="1">
      <alignment horizontal="center" vertical="center" wrapText="1"/>
    </xf>
    <xf numFmtId="0" fontId="54" fillId="34" borderId="39" xfId="0" applyFont="1" applyFill="1" applyBorder="1" applyAlignment="1">
      <alignment horizontal="center" vertical="center" wrapText="1"/>
    </xf>
    <xf numFmtId="0" fontId="54" fillId="34" borderId="40" xfId="0" applyFont="1" applyFill="1" applyBorder="1" applyAlignment="1">
      <alignment vertical="center" wrapText="1"/>
    </xf>
    <xf numFmtId="0" fontId="54" fillId="34" borderId="13" xfId="0" applyFont="1" applyFill="1" applyBorder="1" applyAlignment="1">
      <alignment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right" vertical="top" wrapText="1"/>
    </xf>
    <xf numFmtId="0" fontId="53" fillId="34" borderId="21" xfId="0" applyFont="1" applyFill="1" applyBorder="1" applyAlignment="1">
      <alignment horizontal="right" vertical="top" wrapText="1"/>
    </xf>
    <xf numFmtId="0" fontId="8" fillId="34" borderId="13" xfId="0" applyFont="1" applyFill="1" applyBorder="1" applyAlignment="1">
      <alignment horizontal="center" vertical="top" textRotation="90" wrapText="1"/>
    </xf>
    <xf numFmtId="0" fontId="54" fillId="0" borderId="0" xfId="0" applyFont="1" applyAlignment="1">
      <alignment horizontal="left"/>
    </xf>
    <xf numFmtId="0" fontId="54" fillId="34" borderId="19" xfId="0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34" borderId="19" xfId="0" applyFont="1" applyFill="1" applyBorder="1" applyAlignment="1">
      <alignment horizontal="center" vertical="center" wrapText="1"/>
    </xf>
    <xf numFmtId="4" fontId="54" fillId="34" borderId="15" xfId="0" applyNumberFormat="1" applyFont="1" applyFill="1" applyBorder="1" applyAlignment="1">
      <alignment horizontal="right" vertical="top" wrapText="1"/>
    </xf>
    <xf numFmtId="4" fontId="2" fillId="34" borderId="17" xfId="0" applyNumberFormat="1" applyFont="1" applyFill="1" applyBorder="1" applyAlignment="1" applyProtection="1">
      <alignment vertical="top" wrapText="1"/>
      <protection locked="0"/>
    </xf>
    <xf numFmtId="4" fontId="2" fillId="34" borderId="30" xfId="0" applyNumberFormat="1" applyFont="1" applyFill="1" applyBorder="1" applyAlignment="1" applyProtection="1">
      <alignment vertical="top" wrapText="1"/>
      <protection locked="0"/>
    </xf>
    <xf numFmtId="4" fontId="2" fillId="34" borderId="13" xfId="0" applyNumberFormat="1" applyFont="1" applyFill="1" applyBorder="1" applyAlignment="1" applyProtection="1">
      <alignment vertical="top" wrapText="1"/>
      <protection locked="0"/>
    </xf>
    <xf numFmtId="4" fontId="2" fillId="34" borderId="14" xfId="0" applyNumberFormat="1" applyFont="1" applyFill="1" applyBorder="1" applyAlignment="1" applyProtection="1">
      <alignment vertical="top" wrapText="1"/>
      <protection locked="0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6" borderId="66" xfId="0" applyFont="1" applyFill="1" applyBorder="1" applyAlignment="1">
      <alignment horizontal="center" vertical="center" wrapText="1"/>
    </xf>
    <xf numFmtId="49" fontId="55" fillId="36" borderId="67" xfId="0" applyNumberFormat="1" applyFont="1" applyFill="1" applyBorder="1" applyAlignment="1">
      <alignment horizontal="center" wrapText="1" shrinkToFit="1"/>
    </xf>
    <xf numFmtId="49" fontId="55" fillId="34" borderId="20" xfId="0" applyNumberFormat="1" applyFont="1" applyFill="1" applyBorder="1" applyAlignment="1">
      <alignment horizontal="center" wrapText="1" shrinkToFit="1"/>
    </xf>
    <xf numFmtId="49" fontId="55" fillId="36" borderId="67" xfId="0" applyNumberFormat="1" applyFont="1" applyFill="1" applyBorder="1" applyAlignment="1">
      <alignment horizontal="center" textRotation="90" wrapText="1" shrinkToFit="1"/>
    </xf>
    <xf numFmtId="49" fontId="55" fillId="34" borderId="20" xfId="0" applyNumberFormat="1" applyFont="1" applyFill="1" applyBorder="1" applyAlignment="1">
      <alignment horizontal="center" textRotation="90" wrapText="1" shrinkToFit="1"/>
    </xf>
    <xf numFmtId="49" fontId="54" fillId="36" borderId="67" xfId="0" applyNumberFormat="1" applyFont="1" applyFill="1" applyBorder="1" applyAlignment="1">
      <alignment horizontal="center" textRotation="255" shrinkToFit="1"/>
    </xf>
    <xf numFmtId="49" fontId="54" fillId="34" borderId="20" xfId="0" applyNumberFormat="1" applyFont="1" applyFill="1" applyBorder="1" applyAlignment="1">
      <alignment horizontal="center" textRotation="255" shrinkToFit="1"/>
    </xf>
    <xf numFmtId="49" fontId="54" fillId="36" borderId="66" xfId="0" applyNumberFormat="1" applyFont="1" applyFill="1" applyBorder="1" applyAlignment="1">
      <alignment horizontal="center" textRotation="255" shrinkToFit="1"/>
    </xf>
    <xf numFmtId="0" fontId="54" fillId="36" borderId="66" xfId="0" applyFont="1" applyFill="1" applyBorder="1" applyAlignment="1">
      <alignment horizontal="center" vertical="top" wrapText="1"/>
    </xf>
    <xf numFmtId="0" fontId="53" fillId="34" borderId="44" xfId="0" applyFont="1" applyFill="1" applyBorder="1" applyAlignment="1">
      <alignment horizontal="right" vertical="top" wrapText="1"/>
    </xf>
    <xf numFmtId="0" fontId="53" fillId="34" borderId="68" xfId="0" applyFont="1" applyFill="1" applyBorder="1" applyAlignment="1">
      <alignment horizontal="right" vertical="top" wrapText="1"/>
    </xf>
    <xf numFmtId="4" fontId="56" fillId="34" borderId="18" xfId="0" applyNumberFormat="1" applyFont="1" applyFill="1" applyBorder="1" applyAlignment="1">
      <alignment horizontal="right" vertical="top" wrapText="1"/>
    </xf>
    <xf numFmtId="4" fontId="56" fillId="34" borderId="17" xfId="0" applyNumberFormat="1" applyFont="1" applyFill="1" applyBorder="1" applyAlignment="1">
      <alignment horizontal="right" vertical="top" wrapText="1"/>
    </xf>
    <xf numFmtId="0" fontId="54" fillId="34" borderId="19" xfId="0" applyFont="1" applyFill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center" textRotation="90" wrapText="1" shrinkToFit="1"/>
    </xf>
    <xf numFmtId="4" fontId="9" fillId="34" borderId="17" xfId="0" applyNumberFormat="1" applyFont="1" applyFill="1" applyBorder="1" applyAlignment="1">
      <alignment horizontal="right" vertical="top" wrapText="1"/>
    </xf>
    <xf numFmtId="4" fontId="9" fillId="34" borderId="27" xfId="0" applyNumberFormat="1" applyFont="1" applyFill="1" applyBorder="1" applyAlignment="1">
      <alignment horizontal="right" vertical="top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59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4" fontId="53" fillId="34" borderId="25" xfId="0" applyNumberFormat="1" applyFont="1" applyFill="1" applyBorder="1" applyAlignment="1">
      <alignment horizontal="right" vertical="center" wrapText="1"/>
    </xf>
    <xf numFmtId="4" fontId="54" fillId="34" borderId="12" xfId="0" applyNumberFormat="1" applyFont="1" applyFill="1" applyBorder="1" applyAlignment="1">
      <alignment horizontal="center" vertical="center" wrapText="1"/>
    </xf>
    <xf numFmtId="4" fontId="54" fillId="34" borderId="30" xfId="0" applyNumberFormat="1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3" fillId="34" borderId="54" xfId="0" applyFont="1" applyFill="1" applyBorder="1" applyAlignment="1">
      <alignment vertical="top" wrapText="1"/>
    </xf>
    <xf numFmtId="0" fontId="53" fillId="34" borderId="12" xfId="0" applyFont="1" applyFill="1" applyBorder="1" applyAlignment="1">
      <alignment vertical="top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vertical="top" wrapText="1"/>
    </xf>
    <xf numFmtId="0" fontId="53" fillId="34" borderId="11" xfId="0" applyFont="1" applyFill="1" applyBorder="1" applyAlignment="1">
      <alignment vertical="top" wrapText="1"/>
    </xf>
    <xf numFmtId="4" fontId="9" fillId="34" borderId="32" xfId="0" applyNumberFormat="1" applyFont="1" applyFill="1" applyBorder="1" applyAlignment="1">
      <alignment horizontal="right" vertical="top" wrapText="1"/>
    </xf>
    <xf numFmtId="0" fontId="53" fillId="34" borderId="20" xfId="0" applyFont="1" applyFill="1" applyBorder="1" applyAlignment="1">
      <alignment vertical="top" wrapText="1"/>
    </xf>
    <xf numFmtId="0" fontId="54" fillId="34" borderId="19" xfId="0" applyFont="1" applyFill="1" applyBorder="1" applyAlignment="1">
      <alignment horizontal="center" vertical="center" wrapText="1"/>
    </xf>
    <xf numFmtId="0" fontId="2" fillId="0" borderId="31" xfId="0" applyFont="1" applyBorder="1" applyAlignment="1" applyProtection="1">
      <alignment vertical="top" wrapText="1"/>
      <protection locked="0"/>
    </xf>
    <xf numFmtId="0" fontId="53" fillId="34" borderId="10" xfId="0" applyFont="1" applyFill="1" applyBorder="1" applyAlignment="1">
      <alignment horizontal="right" vertical="top" wrapText="1"/>
    </xf>
    <xf numFmtId="0" fontId="53" fillId="34" borderId="35" xfId="0" applyFont="1" applyFill="1" applyBorder="1" applyAlignment="1">
      <alignment horizontal="right" vertical="top" wrapText="1"/>
    </xf>
    <xf numFmtId="0" fontId="2" fillId="0" borderId="17" xfId="0" applyFont="1" applyBorder="1" applyAlignment="1" applyProtection="1">
      <alignment vertical="top" wrapText="1"/>
      <protection locked="0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right" vertical="top" wrapText="1"/>
    </xf>
    <xf numFmtId="4" fontId="53" fillId="34" borderId="28" xfId="0" applyNumberFormat="1" applyFont="1" applyFill="1" applyBorder="1" applyAlignment="1">
      <alignment horizontal="right" vertical="top" wrapText="1"/>
    </xf>
    <xf numFmtId="4" fontId="53" fillId="0" borderId="15" xfId="0" applyNumberFormat="1" applyFont="1" applyFill="1" applyBorder="1" applyAlignment="1">
      <alignment horizontal="right" vertical="top" wrapText="1"/>
    </xf>
    <xf numFmtId="4" fontId="53" fillId="0" borderId="23" xfId="0" applyNumberFormat="1" applyFont="1" applyFill="1" applyBorder="1" applyAlignment="1">
      <alignment horizontal="right" vertical="top" wrapText="1"/>
    </xf>
    <xf numFmtId="4" fontId="53" fillId="0" borderId="10" xfId="0" applyNumberFormat="1" applyFont="1" applyFill="1" applyBorder="1" applyAlignment="1">
      <alignment horizontal="right" vertical="top" wrapText="1"/>
    </xf>
    <xf numFmtId="4" fontId="53" fillId="0" borderId="32" xfId="0" applyNumberFormat="1" applyFont="1" applyFill="1" applyBorder="1" applyAlignment="1">
      <alignment horizontal="right" vertical="top" wrapText="1"/>
    </xf>
    <xf numFmtId="4" fontId="53" fillId="0" borderId="17" xfId="0" applyNumberFormat="1" applyFont="1" applyFill="1" applyBorder="1" applyAlignment="1">
      <alignment horizontal="right" vertical="top" wrapText="1"/>
    </xf>
    <xf numFmtId="4" fontId="53" fillId="0" borderId="35" xfId="0" applyNumberFormat="1" applyFont="1" applyFill="1" applyBorder="1" applyAlignment="1">
      <alignment horizontal="right" vertical="top" wrapText="1"/>
    </xf>
    <xf numFmtId="4" fontId="53" fillId="0" borderId="12" xfId="0" applyNumberFormat="1" applyFont="1" applyFill="1" applyBorder="1" applyAlignment="1">
      <alignment horizontal="right" vertical="top" wrapText="1"/>
    </xf>
    <xf numFmtId="0" fontId="5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2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49" fontId="55" fillId="0" borderId="20" xfId="0" applyNumberFormat="1" applyFont="1" applyBorder="1" applyAlignment="1">
      <alignment horizontal="justify" textRotation="90" wrapText="1" shrinkToFit="1"/>
    </xf>
    <xf numFmtId="49" fontId="55" fillId="0" borderId="19" xfId="0" applyNumberFormat="1" applyFont="1" applyBorder="1" applyAlignment="1">
      <alignment horizontal="justify" textRotation="90" shrinkToFit="1"/>
    </xf>
    <xf numFmtId="49" fontId="55" fillId="0" borderId="12" xfId="0" applyNumberFormat="1" applyFont="1" applyBorder="1" applyAlignment="1">
      <alignment horizontal="justify" textRotation="90" shrinkToFit="1"/>
    </xf>
    <xf numFmtId="49" fontId="55" fillId="0" borderId="20" xfId="0" applyNumberFormat="1" applyFont="1" applyBorder="1" applyAlignment="1">
      <alignment horizontal="center" textRotation="90" wrapText="1" shrinkToFit="1"/>
    </xf>
    <xf numFmtId="49" fontId="55" fillId="0" borderId="19" xfId="0" applyNumberFormat="1" applyFont="1" applyBorder="1" applyAlignment="1">
      <alignment horizontal="center" textRotation="90" wrapText="1" shrinkToFit="1"/>
    </xf>
    <xf numFmtId="49" fontId="55" fillId="0" borderId="12" xfId="0" applyNumberFormat="1" applyFont="1" applyBorder="1" applyAlignment="1">
      <alignment horizontal="center" textRotation="90" wrapText="1" shrinkToFit="1"/>
    </xf>
    <xf numFmtId="0" fontId="54" fillId="0" borderId="20" xfId="0" applyFont="1" applyBorder="1" applyAlignment="1">
      <alignment horizontal="center" textRotation="90" wrapText="1"/>
    </xf>
    <xf numFmtId="0" fontId="54" fillId="0" borderId="19" xfId="0" applyFont="1" applyBorder="1" applyAlignment="1">
      <alignment horizontal="center" textRotation="90" wrapText="1"/>
    </xf>
    <xf numFmtId="0" fontId="54" fillId="0" borderId="12" xfId="0" applyFont="1" applyBorder="1" applyAlignment="1">
      <alignment horizontal="center" textRotation="90" wrapText="1"/>
    </xf>
    <xf numFmtId="0" fontId="54" fillId="19" borderId="31" xfId="0" applyFont="1" applyFill="1" applyBorder="1" applyAlignment="1">
      <alignment horizontal="center" vertical="top" wrapText="1"/>
    </xf>
    <xf numFmtId="0" fontId="54" fillId="19" borderId="59" xfId="0" applyFont="1" applyFill="1" applyBorder="1" applyAlignment="1">
      <alignment horizontal="center" vertical="top" wrapText="1"/>
    </xf>
    <xf numFmtId="0" fontId="54" fillId="19" borderId="14" xfId="0" applyFont="1" applyFill="1" applyBorder="1" applyAlignment="1">
      <alignment horizontal="center" vertical="top" wrapText="1"/>
    </xf>
    <xf numFmtId="0" fontId="54" fillId="0" borderId="26" xfId="0" applyFont="1" applyBorder="1" applyAlignment="1">
      <alignment horizontal="center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textRotation="90" shrinkToFit="1"/>
    </xf>
    <xf numFmtId="49" fontId="54" fillId="0" borderId="19" xfId="0" applyNumberFormat="1" applyFont="1" applyBorder="1" applyAlignment="1">
      <alignment horizontal="center" textRotation="90" shrinkToFit="1"/>
    </xf>
    <xf numFmtId="0" fontId="54" fillId="34" borderId="19" xfId="0" applyFont="1" applyFill="1" applyBorder="1" applyAlignment="1">
      <alignment horizontal="center" vertical="top" wrapText="1"/>
    </xf>
    <xf numFmtId="0" fontId="54" fillId="34" borderId="12" xfId="0" applyFont="1" applyFill="1" applyBorder="1" applyAlignment="1">
      <alignment horizontal="center" vertical="top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6" borderId="31" xfId="0" applyFont="1" applyFill="1" applyBorder="1" applyAlignment="1">
      <alignment horizontal="center" vertical="top" wrapText="1"/>
    </xf>
    <xf numFmtId="0" fontId="54" fillId="36" borderId="59" xfId="0" applyFont="1" applyFill="1" applyBorder="1" applyAlignment="1">
      <alignment horizontal="center" vertical="top" wrapText="1"/>
    </xf>
    <xf numFmtId="0" fontId="54" fillId="36" borderId="14" xfId="0" applyFont="1" applyFill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49" fontId="54" fillId="0" borderId="12" xfId="0" applyNumberFormat="1" applyFont="1" applyBorder="1" applyAlignment="1">
      <alignment horizontal="center" textRotation="90" shrinkToFit="1"/>
    </xf>
    <xf numFmtId="0" fontId="54" fillId="0" borderId="2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4" fillId="15" borderId="31" xfId="0" applyFont="1" applyFill="1" applyBorder="1" applyAlignment="1">
      <alignment horizontal="center" vertical="top" wrapText="1"/>
    </xf>
    <xf numFmtId="0" fontId="54" fillId="15" borderId="59" xfId="0" applyFont="1" applyFill="1" applyBorder="1" applyAlignment="1">
      <alignment horizontal="center" vertical="top" wrapText="1"/>
    </xf>
    <xf numFmtId="0" fontId="54" fillId="15" borderId="14" xfId="0" applyFont="1" applyFill="1" applyBorder="1" applyAlignment="1">
      <alignment horizontal="center" vertical="top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4" borderId="69" xfId="0" applyFont="1" applyFill="1" applyBorder="1" applyAlignment="1">
      <alignment horizontal="center" vertical="center" wrapText="1"/>
    </xf>
    <xf numFmtId="0" fontId="54" fillId="34" borderId="7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4" fillId="34" borderId="26" xfId="0" applyFont="1" applyFill="1" applyBorder="1" applyAlignment="1">
      <alignment horizontal="center" vertical="top" wrapText="1"/>
    </xf>
    <xf numFmtId="0" fontId="54" fillId="34" borderId="0" xfId="0" applyFont="1" applyFill="1" applyBorder="1" applyAlignment="1">
      <alignment horizontal="center" vertical="top" wrapText="1"/>
    </xf>
    <xf numFmtId="49" fontId="53" fillId="0" borderId="20" xfId="0" applyNumberFormat="1" applyFont="1" applyBorder="1" applyAlignment="1">
      <alignment horizontal="justify" wrapText="1" shrinkToFit="1"/>
    </xf>
    <xf numFmtId="49" fontId="53" fillId="0" borderId="19" xfId="0" applyNumberFormat="1" applyFont="1" applyBorder="1" applyAlignment="1">
      <alignment horizontal="justify" shrinkToFi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35" borderId="41" xfId="0" applyFont="1" applyFill="1" applyBorder="1" applyAlignment="1">
      <alignment horizontal="center" wrapText="1"/>
    </xf>
    <xf numFmtId="0" fontId="54" fillId="35" borderId="41" xfId="0" applyFont="1" applyFill="1" applyBorder="1" applyAlignment="1">
      <alignment horizontal="center"/>
    </xf>
    <xf numFmtId="0" fontId="54" fillId="35" borderId="64" xfId="0" applyFont="1" applyFill="1" applyBorder="1" applyAlignment="1">
      <alignment horizontal="center"/>
    </xf>
    <xf numFmtId="0" fontId="54" fillId="15" borderId="24" xfId="0" applyFont="1" applyFill="1" applyBorder="1" applyAlignment="1">
      <alignment horizontal="center" vertical="top" wrapText="1"/>
    </xf>
    <xf numFmtId="0" fontId="54" fillId="15" borderId="26" xfId="0" applyFont="1" applyFill="1" applyBorder="1" applyAlignment="1">
      <alignment horizontal="center" vertical="top" wrapText="1"/>
    </xf>
    <xf numFmtId="0" fontId="54" fillId="15" borderId="2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933450</xdr:colOff>
      <xdr:row>5</xdr:row>
      <xdr:rowOff>142875</xdr:rowOff>
    </xdr:to>
    <xdr:grpSp>
      <xdr:nvGrpSpPr>
        <xdr:cNvPr id="1" name="Canvas 3"/>
        <xdr:cNvGrpSpPr>
          <a:grpSpLocks/>
        </xdr:cNvGrpSpPr>
      </xdr:nvGrpSpPr>
      <xdr:grpSpPr>
        <a:xfrm>
          <a:off x="0" y="19050"/>
          <a:ext cx="9105900" cy="1257300"/>
          <a:chOff x="0" y="0"/>
          <a:chExt cx="7644765" cy="1078230"/>
        </a:xfrm>
        <a:solidFill>
          <a:srgbClr val="FFFFFF"/>
        </a:solidFill>
      </xdr:grpSpPr>
      <xdr:sp>
        <xdr:nvSpPr>
          <xdr:cNvPr id="2" name="AutoShape 28"/>
          <xdr:cNvSpPr>
            <a:spLocks noChangeAspect="1"/>
          </xdr:cNvSpPr>
        </xdr:nvSpPr>
        <xdr:spPr>
          <a:xfrm>
            <a:off x="0" y="0"/>
            <a:ext cx="7644765" cy="1078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91737" y="549628"/>
            <a:ext cx="3141998" cy="340721"/>
          </a:xfrm>
          <a:prstGeom prst="rect">
            <a:avLst/>
          </a:prstGeom>
          <a:solidFill>
            <a:srgbClr val="4550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3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Моше Пијаде 1, 19210 Бор+381 30 424546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430141" y="575236"/>
            <a:ext cx="3145821" cy="300287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50936" y="0"/>
            <a:ext cx="1070267" cy="9105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92983" y="34234"/>
            <a:ext cx="993819" cy="5887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8134" y="45016"/>
            <a:ext cx="19112" cy="5709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79661" y="45016"/>
            <a:ext cx="695674" cy="5709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Rectangle 121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Oval 129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Rectangle 146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22222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Oval 154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22222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Rectangle 171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Oval 179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Text Box 223"/>
          <xdr:cNvSpPr txBox="1">
            <a:spLocks noChangeArrowheads="1"/>
          </xdr:cNvSpPr>
        </xdr:nvSpPr>
        <xdr:spPr>
          <a:xfrm>
            <a:off x="3164933" y="928356"/>
            <a:ext cx="1213606" cy="1129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Центар за културу града Бора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47625</xdr:rowOff>
    </xdr:from>
    <xdr:to>
      <xdr:col>11</xdr:col>
      <xdr:colOff>342900</xdr:colOff>
      <xdr:row>4</xdr:row>
      <xdr:rowOff>371475</xdr:rowOff>
    </xdr:to>
    <xdr:grpSp>
      <xdr:nvGrpSpPr>
        <xdr:cNvPr id="1" name="Canvas 3"/>
        <xdr:cNvGrpSpPr>
          <a:grpSpLocks/>
        </xdr:cNvGrpSpPr>
      </xdr:nvGrpSpPr>
      <xdr:grpSpPr>
        <a:xfrm>
          <a:off x="695325" y="47625"/>
          <a:ext cx="7639050" cy="1123950"/>
          <a:chOff x="0" y="0"/>
          <a:chExt cx="7644765" cy="1078230"/>
        </a:xfrm>
        <a:solidFill>
          <a:srgbClr val="FFFFFF"/>
        </a:solidFill>
      </xdr:grpSpPr>
      <xdr:sp>
        <xdr:nvSpPr>
          <xdr:cNvPr id="2" name="AutoShape 33"/>
          <xdr:cNvSpPr>
            <a:spLocks noChangeAspect="1"/>
          </xdr:cNvSpPr>
        </xdr:nvSpPr>
        <xdr:spPr>
          <a:xfrm>
            <a:off x="0" y="0"/>
            <a:ext cx="7644765" cy="1078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91737" y="549628"/>
            <a:ext cx="3141998" cy="340721"/>
          </a:xfrm>
          <a:prstGeom prst="rect">
            <a:avLst/>
          </a:prstGeom>
          <a:solidFill>
            <a:srgbClr val="4550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3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Моше Пијаде 1, 19210 Бор+381 30 424546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430141" y="575236"/>
            <a:ext cx="3145821" cy="300287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50936" y="0"/>
            <a:ext cx="1070267" cy="9105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92983" y="34234"/>
            <a:ext cx="993819" cy="5887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8134" y="45016"/>
            <a:ext cx="19112" cy="5709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79661" y="45016"/>
            <a:ext cx="695674" cy="5709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Rectangle 121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Oval 129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Rectangle 146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22222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Oval 154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22222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Rectangle 171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Oval 179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Text Box 223"/>
          <xdr:cNvSpPr txBox="1">
            <a:spLocks noChangeArrowheads="1"/>
          </xdr:cNvSpPr>
        </xdr:nvSpPr>
        <xdr:spPr>
          <a:xfrm>
            <a:off x="3164933" y="928356"/>
            <a:ext cx="1213606" cy="1129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Центар за културу града Бора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38100</xdr:rowOff>
    </xdr:from>
    <xdr:to>
      <xdr:col>10</xdr:col>
      <xdr:colOff>847725</xdr:colOff>
      <xdr:row>4</xdr:row>
      <xdr:rowOff>542925</xdr:rowOff>
    </xdr:to>
    <xdr:grpSp>
      <xdr:nvGrpSpPr>
        <xdr:cNvPr id="1" name="Canvas 3"/>
        <xdr:cNvGrpSpPr>
          <a:grpSpLocks/>
        </xdr:cNvGrpSpPr>
      </xdr:nvGrpSpPr>
      <xdr:grpSpPr>
        <a:xfrm>
          <a:off x="847725" y="228600"/>
          <a:ext cx="7629525" cy="1104900"/>
          <a:chOff x="0" y="0"/>
          <a:chExt cx="7644765" cy="1078230"/>
        </a:xfrm>
        <a:solidFill>
          <a:srgbClr val="FFFFFF"/>
        </a:solidFill>
      </xdr:grpSpPr>
      <xdr:sp>
        <xdr:nvSpPr>
          <xdr:cNvPr id="2" name="AutoShape 28"/>
          <xdr:cNvSpPr>
            <a:spLocks noChangeAspect="1"/>
          </xdr:cNvSpPr>
        </xdr:nvSpPr>
        <xdr:spPr>
          <a:xfrm>
            <a:off x="0" y="0"/>
            <a:ext cx="7644765" cy="1078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91737" y="549628"/>
            <a:ext cx="3141998" cy="340721"/>
          </a:xfrm>
          <a:prstGeom prst="rect">
            <a:avLst/>
          </a:prstGeom>
          <a:solidFill>
            <a:srgbClr val="4550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3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Моше Пијаде 1, 19210 Бор+381 30 424546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430141" y="575236"/>
            <a:ext cx="3145821" cy="300287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50936" y="0"/>
            <a:ext cx="1070267" cy="9105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92983" y="34234"/>
            <a:ext cx="993819" cy="5887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8134" y="45016"/>
            <a:ext cx="19112" cy="5709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79661" y="45016"/>
            <a:ext cx="695674" cy="5709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Rectangle 121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Oval 129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Rectangle 146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22222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Oval 154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22222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Rectangle 171"/>
          <xdr:cNvSpPr>
            <a:spLocks/>
          </xdr:cNvSpPr>
        </xdr:nvSpPr>
        <xdr:spPr>
          <a:xfrm>
            <a:off x="6637567" y="673085"/>
            <a:ext cx="9556" cy="889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Oval 179"/>
          <xdr:cNvSpPr>
            <a:spLocks/>
          </xdr:cNvSpPr>
        </xdr:nvSpPr>
        <xdr:spPr>
          <a:xfrm>
            <a:off x="6949091" y="749370"/>
            <a:ext cx="13378" cy="12669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Text Box 223"/>
          <xdr:cNvSpPr txBox="1">
            <a:spLocks noChangeArrowheads="1"/>
          </xdr:cNvSpPr>
        </xdr:nvSpPr>
        <xdr:spPr>
          <a:xfrm>
            <a:off x="3164933" y="928356"/>
            <a:ext cx="1213606" cy="1129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Центар за културу града Бора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88">
      <selection activeCell="I133" sqref="I133"/>
    </sheetView>
  </sheetViews>
  <sheetFormatPr defaultColWidth="9.140625" defaultRowHeight="15"/>
  <cols>
    <col min="1" max="1" width="5.57421875" style="0" customWidth="1"/>
    <col min="2" max="2" width="5.7109375" style="0" customWidth="1"/>
    <col min="3" max="3" width="7.421875" style="0" customWidth="1"/>
    <col min="4" max="4" width="6.140625" style="0" customWidth="1"/>
    <col min="5" max="5" width="11.7109375" style="0" customWidth="1"/>
    <col min="6" max="6" width="7.00390625" style="0" customWidth="1"/>
    <col min="7" max="7" width="6.7109375" style="0" customWidth="1"/>
    <col min="9" max="9" width="34.7109375" style="0" customWidth="1"/>
    <col min="10" max="10" width="14.8515625" style="0" customWidth="1"/>
    <col min="11" max="11" width="13.57421875" style="0" customWidth="1"/>
    <col min="12" max="12" width="14.7109375" style="0" customWidth="1"/>
    <col min="13" max="13" width="10.140625" style="0" bestFit="1" customWidth="1"/>
  </cols>
  <sheetData>
    <row r="1" spans="1:7" ht="15.75">
      <c r="A1" s="511"/>
      <c r="B1" s="512"/>
      <c r="C1" s="512"/>
      <c r="D1" s="512"/>
      <c r="E1" s="512"/>
      <c r="F1" s="512"/>
      <c r="G1" s="512"/>
    </row>
    <row r="2" spans="1:7" ht="15.75">
      <c r="A2" s="512"/>
      <c r="B2" s="512"/>
      <c r="C2" s="512"/>
      <c r="D2" s="512"/>
      <c r="E2" s="512"/>
      <c r="F2" s="512"/>
      <c r="G2" s="512"/>
    </row>
    <row r="3" spans="1:7" ht="15.75">
      <c r="A3" s="512"/>
      <c r="B3" s="512"/>
      <c r="C3" s="512"/>
      <c r="D3" s="512"/>
      <c r="E3" s="512"/>
      <c r="F3" s="512"/>
      <c r="G3" s="512"/>
    </row>
    <row r="4" spans="1:7" ht="15.75">
      <c r="A4" s="512"/>
      <c r="B4" s="512"/>
      <c r="C4" s="512"/>
      <c r="D4" s="512"/>
      <c r="E4" s="512"/>
      <c r="F4" s="512"/>
      <c r="G4" s="512"/>
    </row>
    <row r="5" spans="1:7" ht="26.25" customHeight="1">
      <c r="A5" s="512"/>
      <c r="B5" s="512"/>
      <c r="C5" s="512"/>
      <c r="D5" s="512"/>
      <c r="E5" s="512"/>
      <c r="F5" s="512"/>
      <c r="G5" s="512"/>
    </row>
    <row r="6" spans="1:12" ht="14.25" customHeight="1">
      <c r="A6" s="548" t="s">
        <v>293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</row>
    <row r="7" spans="1:12" ht="6" customHeight="1">
      <c r="A7" s="549"/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</row>
    <row r="8" spans="1:12" ht="105.75" customHeight="1" thickBo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</row>
    <row r="9" spans="1:12" ht="32.25" customHeight="1">
      <c r="A9" s="509" t="s">
        <v>20</v>
      </c>
      <c r="B9" s="535" t="s">
        <v>85</v>
      </c>
      <c r="C9" s="535" t="s">
        <v>86</v>
      </c>
      <c r="D9" s="519" t="s">
        <v>96</v>
      </c>
      <c r="E9" s="522" t="s">
        <v>97</v>
      </c>
      <c r="F9" s="522" t="s">
        <v>91</v>
      </c>
      <c r="G9" s="525" t="s">
        <v>87</v>
      </c>
      <c r="H9" s="525" t="s">
        <v>88</v>
      </c>
      <c r="I9" s="545" t="s">
        <v>0</v>
      </c>
      <c r="J9" s="509" t="s">
        <v>131</v>
      </c>
      <c r="K9" s="509" t="s">
        <v>21</v>
      </c>
      <c r="L9" s="509" t="s">
        <v>22</v>
      </c>
    </row>
    <row r="10" spans="1:12" ht="15.75" customHeight="1" thickBot="1">
      <c r="A10" s="543"/>
      <c r="B10" s="536"/>
      <c r="C10" s="536"/>
      <c r="D10" s="520"/>
      <c r="E10" s="523"/>
      <c r="F10" s="523"/>
      <c r="G10" s="526"/>
      <c r="H10" s="526"/>
      <c r="I10" s="546"/>
      <c r="J10" s="510"/>
      <c r="K10" s="510"/>
      <c r="L10" s="510"/>
    </row>
    <row r="11" spans="1:12" ht="39" customHeight="1" thickBot="1">
      <c r="A11" s="510"/>
      <c r="B11" s="544"/>
      <c r="C11" s="544"/>
      <c r="D11" s="521"/>
      <c r="E11" s="524"/>
      <c r="F11" s="524"/>
      <c r="G11" s="527"/>
      <c r="H11" s="527"/>
      <c r="I11" s="547"/>
      <c r="J11" s="33" t="s">
        <v>23</v>
      </c>
      <c r="K11" s="33" t="s">
        <v>24</v>
      </c>
      <c r="L11" s="33"/>
    </row>
    <row r="12" spans="1:12" ht="74.25" customHeight="1" thickBot="1">
      <c r="A12" s="103"/>
      <c r="B12" s="104" t="s">
        <v>232</v>
      </c>
      <c r="C12" s="104" t="s">
        <v>89</v>
      </c>
      <c r="D12" s="105" t="s">
        <v>90</v>
      </c>
      <c r="E12" s="105" t="s">
        <v>95</v>
      </c>
      <c r="F12" s="106" t="s">
        <v>92</v>
      </c>
      <c r="G12" s="107"/>
      <c r="H12" s="108"/>
      <c r="I12" s="109"/>
      <c r="J12" s="110"/>
      <c r="K12" s="110"/>
      <c r="L12" s="110"/>
    </row>
    <row r="13" spans="1:12" ht="18.75" customHeight="1" thickBot="1">
      <c r="A13" s="532">
        <v>1</v>
      </c>
      <c r="B13" s="532"/>
      <c r="C13" s="532"/>
      <c r="D13" s="532"/>
      <c r="E13" s="80"/>
      <c r="F13" s="80"/>
      <c r="G13" s="532">
        <v>221</v>
      </c>
      <c r="H13" s="111">
        <v>411</v>
      </c>
      <c r="I13" s="112" t="s">
        <v>2</v>
      </c>
      <c r="J13" s="113">
        <f>J14</f>
        <v>10832519</v>
      </c>
      <c r="K13" s="113">
        <f>K14</f>
        <v>0</v>
      </c>
      <c r="L13" s="113">
        <f>SUM(J13+K13)</f>
        <v>10832519</v>
      </c>
    </row>
    <row r="14" spans="1:12" ht="19.5" customHeight="1" thickBot="1">
      <c r="A14" s="534"/>
      <c r="B14" s="534"/>
      <c r="C14" s="534"/>
      <c r="D14" s="534"/>
      <c r="E14" s="81"/>
      <c r="F14" s="81"/>
      <c r="G14" s="534"/>
      <c r="H14" s="6">
        <v>4111</v>
      </c>
      <c r="I14" s="7" t="s">
        <v>3</v>
      </c>
      <c r="J14" s="8">
        <f>10762302+70217</f>
        <v>10832519</v>
      </c>
      <c r="K14" s="12"/>
      <c r="L14" s="30">
        <f>SUM(J14+K14)</f>
        <v>10832519</v>
      </c>
    </row>
    <row r="15" spans="1:12" ht="19.5" customHeight="1" thickBot="1">
      <c r="A15" s="532">
        <v>2</v>
      </c>
      <c r="B15" s="80"/>
      <c r="C15" s="80"/>
      <c r="D15" s="80"/>
      <c r="E15" s="80"/>
      <c r="F15" s="80"/>
      <c r="G15" s="532">
        <v>222</v>
      </c>
      <c r="H15" s="111">
        <v>412</v>
      </c>
      <c r="I15" s="112" t="s">
        <v>28</v>
      </c>
      <c r="J15" s="113">
        <f>SUM(J16+J17+J18)</f>
        <v>1856235</v>
      </c>
      <c r="K15" s="113">
        <f>SUM(K16+K17+K18)</f>
        <v>0</v>
      </c>
      <c r="L15" s="113">
        <f>SUM(J15+K15)</f>
        <v>1856235</v>
      </c>
    </row>
    <row r="16" spans="1:12" ht="16.5" customHeight="1">
      <c r="A16" s="533"/>
      <c r="B16" s="86"/>
      <c r="C16" s="86"/>
      <c r="D16" s="86"/>
      <c r="E16" s="86"/>
      <c r="F16" s="86"/>
      <c r="G16" s="533"/>
      <c r="H16" s="17">
        <v>4121</v>
      </c>
      <c r="I16" s="18" t="s">
        <v>29</v>
      </c>
      <c r="J16" s="19">
        <f>1291477+6000</f>
        <v>1297477</v>
      </c>
      <c r="K16" s="20"/>
      <c r="L16" s="58">
        <f aca="true" t="shared" si="0" ref="L16:L69">SUM(J16+K16)</f>
        <v>1297477</v>
      </c>
    </row>
    <row r="17" spans="1:12" ht="16.5" customHeight="1">
      <c r="A17" s="533"/>
      <c r="B17" s="86"/>
      <c r="C17" s="86"/>
      <c r="D17" s="86"/>
      <c r="E17" s="86"/>
      <c r="F17" s="86"/>
      <c r="G17" s="533"/>
      <c r="H17" s="21">
        <v>4122</v>
      </c>
      <c r="I17" s="22" t="s">
        <v>30</v>
      </c>
      <c r="J17" s="23">
        <f>554258+4500</f>
        <v>558758</v>
      </c>
      <c r="K17" s="24"/>
      <c r="L17" s="230">
        <f t="shared" si="0"/>
        <v>558758</v>
      </c>
    </row>
    <row r="18" spans="1:12" ht="19.5" customHeight="1" thickBot="1">
      <c r="A18" s="534"/>
      <c r="B18" s="81"/>
      <c r="C18" s="81"/>
      <c r="D18" s="81"/>
      <c r="E18" s="81"/>
      <c r="F18" s="81"/>
      <c r="G18" s="534"/>
      <c r="H18" s="6">
        <v>4123</v>
      </c>
      <c r="I18" s="7" t="s">
        <v>31</v>
      </c>
      <c r="J18" s="8">
        <f>80717-80717</f>
        <v>0</v>
      </c>
      <c r="K18" s="16"/>
      <c r="L18" s="8">
        <f t="shared" si="0"/>
        <v>0</v>
      </c>
    </row>
    <row r="19" spans="1:12" ht="16.5" customHeight="1" thickBot="1">
      <c r="A19" s="532">
        <v>3</v>
      </c>
      <c r="B19" s="80"/>
      <c r="C19" s="80"/>
      <c r="D19" s="80"/>
      <c r="E19" s="80"/>
      <c r="F19" s="80"/>
      <c r="G19" s="532">
        <v>223</v>
      </c>
      <c r="H19" s="111">
        <v>414</v>
      </c>
      <c r="I19" s="112" t="s">
        <v>27</v>
      </c>
      <c r="J19" s="113">
        <f>SUM(J21+J22)</f>
        <v>160000</v>
      </c>
      <c r="K19" s="113">
        <f>K20</f>
        <v>37000</v>
      </c>
      <c r="L19" s="113">
        <f>SUM(J19+K19)</f>
        <v>197000</v>
      </c>
    </row>
    <row r="20" spans="1:12" ht="45.75" customHeight="1">
      <c r="A20" s="533"/>
      <c r="B20" s="266"/>
      <c r="C20" s="266"/>
      <c r="D20" s="266"/>
      <c r="E20" s="266"/>
      <c r="F20" s="266"/>
      <c r="G20" s="533"/>
      <c r="H20" s="199">
        <v>4141</v>
      </c>
      <c r="I20" s="200" t="s">
        <v>164</v>
      </c>
      <c r="J20" s="442"/>
      <c r="K20" s="347">
        <v>37000</v>
      </c>
      <c r="L20" s="172"/>
    </row>
    <row r="21" spans="1:12" ht="47.25" customHeight="1">
      <c r="A21" s="533"/>
      <c r="B21" s="86"/>
      <c r="C21" s="86"/>
      <c r="D21" s="86"/>
      <c r="E21" s="86"/>
      <c r="F21" s="86"/>
      <c r="G21" s="533"/>
      <c r="H21" s="21">
        <v>4143</v>
      </c>
      <c r="I21" s="494" t="s">
        <v>44</v>
      </c>
      <c r="J21" s="443">
        <v>60000</v>
      </c>
      <c r="K21" s="296"/>
      <c r="L21" s="298">
        <f t="shared" si="0"/>
        <v>60000</v>
      </c>
    </row>
    <row r="22" spans="1:12" ht="33" customHeight="1" thickBot="1">
      <c r="A22" s="534"/>
      <c r="B22" s="86"/>
      <c r="C22" s="86"/>
      <c r="D22" s="86"/>
      <c r="E22" s="86"/>
      <c r="F22" s="86"/>
      <c r="G22" s="533"/>
      <c r="H22" s="9">
        <v>4144</v>
      </c>
      <c r="I22" s="323" t="s">
        <v>43</v>
      </c>
      <c r="J22" s="444">
        <v>100000</v>
      </c>
      <c r="K22" s="263"/>
      <c r="L22" s="264">
        <f t="shared" si="0"/>
        <v>100000</v>
      </c>
    </row>
    <row r="23" spans="1:12" ht="17.25" customHeight="1" thickBot="1">
      <c r="A23" s="545">
        <v>4</v>
      </c>
      <c r="B23" s="82"/>
      <c r="C23" s="82"/>
      <c r="D23" s="82"/>
      <c r="E23" s="82"/>
      <c r="F23" s="82"/>
      <c r="G23" s="545">
        <v>224</v>
      </c>
      <c r="H23" s="111">
        <v>415</v>
      </c>
      <c r="I23" s="112" t="s">
        <v>4</v>
      </c>
      <c r="J23" s="113">
        <f>J24</f>
        <v>220000</v>
      </c>
      <c r="K23" s="113">
        <f>K24</f>
        <v>0</v>
      </c>
      <c r="L23" s="113">
        <f>SUM(J23+K23)</f>
        <v>220000</v>
      </c>
    </row>
    <row r="24" spans="1:12" ht="48" customHeight="1" thickBot="1">
      <c r="A24" s="547"/>
      <c r="B24" s="83"/>
      <c r="C24" s="83"/>
      <c r="D24" s="83"/>
      <c r="E24" s="83"/>
      <c r="F24" s="83"/>
      <c r="G24" s="547"/>
      <c r="H24" s="2">
        <v>4151</v>
      </c>
      <c r="I24" s="491" t="s">
        <v>268</v>
      </c>
      <c r="J24" s="445">
        <v>220000</v>
      </c>
      <c r="K24" s="32"/>
      <c r="L24" s="30">
        <f t="shared" si="0"/>
        <v>220000</v>
      </c>
    </row>
    <row r="25" spans="1:12" ht="18" customHeight="1" thickBot="1">
      <c r="A25" s="557">
        <v>5</v>
      </c>
      <c r="B25" s="84"/>
      <c r="C25" s="84"/>
      <c r="D25" s="84"/>
      <c r="E25" s="84"/>
      <c r="F25" s="84"/>
      <c r="G25" s="557">
        <v>225</v>
      </c>
      <c r="H25" s="111">
        <v>416</v>
      </c>
      <c r="I25" s="112" t="s">
        <v>26</v>
      </c>
      <c r="J25" s="113">
        <f>J26</f>
        <v>250000</v>
      </c>
      <c r="K25" s="113">
        <f>K26</f>
        <v>0</v>
      </c>
      <c r="L25" s="113">
        <f>SUM(J25+K25)</f>
        <v>250000</v>
      </c>
    </row>
    <row r="26" spans="1:12" ht="19.5" customHeight="1" thickBot="1">
      <c r="A26" s="566"/>
      <c r="B26" s="85"/>
      <c r="C26" s="85"/>
      <c r="D26" s="85"/>
      <c r="E26" s="85"/>
      <c r="F26" s="85"/>
      <c r="G26" s="566"/>
      <c r="H26" s="3">
        <v>4161</v>
      </c>
      <c r="I26" s="267" t="s">
        <v>165</v>
      </c>
      <c r="J26" s="446">
        <v>250000</v>
      </c>
      <c r="K26" s="12"/>
      <c r="L26" s="30">
        <f t="shared" si="0"/>
        <v>250000</v>
      </c>
    </row>
    <row r="27" spans="1:12" ht="20.25" customHeight="1" thickBot="1">
      <c r="A27" s="532">
        <v>6</v>
      </c>
      <c r="B27" s="89"/>
      <c r="C27" s="89"/>
      <c r="D27" s="89"/>
      <c r="E27" s="89"/>
      <c r="F27" s="89"/>
      <c r="G27" s="532">
        <v>226</v>
      </c>
      <c r="H27" s="114">
        <v>421</v>
      </c>
      <c r="I27" s="112" t="s">
        <v>5</v>
      </c>
      <c r="J27" s="113">
        <f>SUM(J28:J33)</f>
        <v>2283300</v>
      </c>
      <c r="K27" s="113">
        <f>SUM(K28:K33)</f>
        <v>7000</v>
      </c>
      <c r="L27" s="113">
        <f>SUM(L28:L33)</f>
        <v>2290300</v>
      </c>
    </row>
    <row r="28" spans="1:12" ht="51.75" customHeight="1">
      <c r="A28" s="533"/>
      <c r="B28" s="90"/>
      <c r="C28" s="90"/>
      <c r="D28" s="90"/>
      <c r="E28" s="90"/>
      <c r="F28" s="90"/>
      <c r="G28" s="533"/>
      <c r="H28" s="70">
        <v>4211</v>
      </c>
      <c r="I28" s="18" t="s">
        <v>45</v>
      </c>
      <c r="J28" s="19">
        <v>70000</v>
      </c>
      <c r="K28" s="25">
        <v>7000</v>
      </c>
      <c r="L28" s="58">
        <f t="shared" si="0"/>
        <v>77000</v>
      </c>
    </row>
    <row r="29" spans="1:12" ht="64.5" customHeight="1">
      <c r="A29" s="533"/>
      <c r="B29" s="90"/>
      <c r="C29" s="90"/>
      <c r="D29" s="90"/>
      <c r="E29" s="90"/>
      <c r="F29" s="90"/>
      <c r="G29" s="533"/>
      <c r="H29" s="71">
        <v>4212</v>
      </c>
      <c r="I29" s="22" t="s">
        <v>101</v>
      </c>
      <c r="J29" s="23">
        <v>1480000</v>
      </c>
      <c r="K29" s="26"/>
      <c r="L29" s="298">
        <f t="shared" si="0"/>
        <v>1480000</v>
      </c>
    </row>
    <row r="30" spans="1:12" ht="61.5" customHeight="1">
      <c r="A30" s="533"/>
      <c r="B30" s="90"/>
      <c r="C30" s="90"/>
      <c r="D30" s="90"/>
      <c r="E30" s="90"/>
      <c r="F30" s="90"/>
      <c r="G30" s="533"/>
      <c r="H30" s="71">
        <v>4213</v>
      </c>
      <c r="I30" s="22" t="s">
        <v>102</v>
      </c>
      <c r="J30" s="23">
        <f>66000-12000</f>
        <v>54000</v>
      </c>
      <c r="K30" s="26"/>
      <c r="L30" s="230">
        <f t="shared" si="0"/>
        <v>54000</v>
      </c>
    </row>
    <row r="31" spans="1:12" ht="16.5" customHeight="1">
      <c r="A31" s="533"/>
      <c r="B31" s="90"/>
      <c r="C31" s="90"/>
      <c r="D31" s="90"/>
      <c r="E31" s="90"/>
      <c r="F31" s="90"/>
      <c r="G31" s="533"/>
      <c r="H31" s="71">
        <v>4214</v>
      </c>
      <c r="I31" s="22" t="s">
        <v>144</v>
      </c>
      <c r="J31" s="23">
        <v>291300</v>
      </c>
      <c r="K31" s="27"/>
      <c r="L31" s="11">
        <f t="shared" si="0"/>
        <v>291300</v>
      </c>
    </row>
    <row r="32" spans="1:12" ht="15.75" customHeight="1">
      <c r="A32" s="533"/>
      <c r="B32" s="92"/>
      <c r="C32" s="92"/>
      <c r="D32" s="92"/>
      <c r="E32" s="92"/>
      <c r="F32" s="92"/>
      <c r="G32" s="533"/>
      <c r="H32" s="325">
        <v>4215</v>
      </c>
      <c r="I32" s="305" t="s">
        <v>103</v>
      </c>
      <c r="J32" s="294">
        <v>385000</v>
      </c>
      <c r="K32" s="295"/>
      <c r="L32" s="230">
        <f t="shared" si="0"/>
        <v>385000</v>
      </c>
    </row>
    <row r="33" spans="1:12" ht="18.75" customHeight="1" thickBot="1">
      <c r="A33" s="534"/>
      <c r="B33" s="91"/>
      <c r="C33" s="91"/>
      <c r="D33" s="91"/>
      <c r="E33" s="91"/>
      <c r="F33" s="91"/>
      <c r="G33" s="534"/>
      <c r="H33" s="203">
        <v>4219</v>
      </c>
      <c r="I33" s="7" t="s">
        <v>159</v>
      </c>
      <c r="J33" s="8">
        <f>2000+1000</f>
        <v>3000</v>
      </c>
      <c r="K33" s="4"/>
      <c r="L33" s="264">
        <f t="shared" si="0"/>
        <v>3000</v>
      </c>
    </row>
    <row r="34" spans="1:12" ht="15" customHeight="1" thickBot="1">
      <c r="A34" s="539"/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2"/>
    </row>
    <row r="35" spans="1:12" ht="15" customHeight="1" hidden="1" thickBot="1">
      <c r="A35" s="563"/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5"/>
    </row>
    <row r="36" spans="1:12" ht="15" customHeight="1" thickBot="1">
      <c r="A36" s="532">
        <v>7</v>
      </c>
      <c r="B36" s="80"/>
      <c r="C36" s="80"/>
      <c r="D36" s="80"/>
      <c r="E36" s="80"/>
      <c r="F36" s="80"/>
      <c r="G36" s="532">
        <v>227</v>
      </c>
      <c r="H36" s="114">
        <v>422</v>
      </c>
      <c r="I36" s="112" t="s">
        <v>6</v>
      </c>
      <c r="J36" s="113">
        <f>SUM(J37:J37)</f>
        <v>60000</v>
      </c>
      <c r="K36" s="113">
        <f>SUM(K37:K37)</f>
        <v>0</v>
      </c>
      <c r="L36" s="113">
        <f>SUM(L37:L37)</f>
        <v>60000</v>
      </c>
    </row>
    <row r="37" spans="1:12" ht="33" customHeight="1" thickBot="1">
      <c r="A37" s="533"/>
      <c r="B37" s="86"/>
      <c r="C37" s="86"/>
      <c r="D37" s="86"/>
      <c r="E37" s="86"/>
      <c r="F37" s="86"/>
      <c r="G37" s="533"/>
      <c r="H37" s="70">
        <v>4221</v>
      </c>
      <c r="I37" s="18" t="s">
        <v>104</v>
      </c>
      <c r="J37" s="19">
        <v>60000</v>
      </c>
      <c r="K37" s="25"/>
      <c r="L37" s="30">
        <f t="shared" si="0"/>
        <v>60000</v>
      </c>
    </row>
    <row r="38" spans="1:12" ht="21.75" customHeight="1" thickBot="1">
      <c r="A38" s="532">
        <v>8</v>
      </c>
      <c r="B38" s="80"/>
      <c r="C38" s="80"/>
      <c r="D38" s="80"/>
      <c r="E38" s="80"/>
      <c r="F38" s="80"/>
      <c r="G38" s="532">
        <v>228</v>
      </c>
      <c r="H38" s="111">
        <v>423</v>
      </c>
      <c r="I38" s="112" t="s">
        <v>7</v>
      </c>
      <c r="J38" s="113">
        <f>SUM(J39:J44)</f>
        <v>747000</v>
      </c>
      <c r="K38" s="113">
        <f>SUM(K39:K44)</f>
        <v>0</v>
      </c>
      <c r="L38" s="113">
        <f>SUM(L39:L44)</f>
        <v>747000</v>
      </c>
    </row>
    <row r="39" spans="1:12" ht="17.25" customHeight="1">
      <c r="A39" s="533"/>
      <c r="B39" s="86"/>
      <c r="C39" s="86"/>
      <c r="D39" s="86"/>
      <c r="E39" s="86"/>
      <c r="F39" s="86"/>
      <c r="G39" s="533"/>
      <c r="H39" s="17">
        <v>4232</v>
      </c>
      <c r="I39" s="18" t="s">
        <v>105</v>
      </c>
      <c r="J39" s="19">
        <v>100000</v>
      </c>
      <c r="K39" s="19"/>
      <c r="L39" s="58">
        <f t="shared" si="0"/>
        <v>100000</v>
      </c>
    </row>
    <row r="40" spans="1:12" ht="32.25" customHeight="1">
      <c r="A40" s="533"/>
      <c r="B40" s="86"/>
      <c r="C40" s="86"/>
      <c r="D40" s="86"/>
      <c r="E40" s="86"/>
      <c r="F40" s="86"/>
      <c r="G40" s="533"/>
      <c r="H40" s="21">
        <v>4233</v>
      </c>
      <c r="I40" s="22" t="s">
        <v>106</v>
      </c>
      <c r="J40" s="23">
        <v>50000</v>
      </c>
      <c r="K40" s="23"/>
      <c r="L40" s="298">
        <f t="shared" si="0"/>
        <v>50000</v>
      </c>
    </row>
    <row r="41" spans="1:12" ht="15" customHeight="1">
      <c r="A41" s="533"/>
      <c r="B41" s="86"/>
      <c r="C41" s="86"/>
      <c r="D41" s="86"/>
      <c r="E41" s="86"/>
      <c r="F41" s="86"/>
      <c r="G41" s="533"/>
      <c r="H41" s="21">
        <v>4234</v>
      </c>
      <c r="I41" s="22" t="s">
        <v>107</v>
      </c>
      <c r="J41" s="23">
        <v>120000</v>
      </c>
      <c r="K41" s="23"/>
      <c r="L41" s="230">
        <f t="shared" si="0"/>
        <v>120000</v>
      </c>
    </row>
    <row r="42" spans="1:12" ht="18.75" customHeight="1">
      <c r="A42" s="533"/>
      <c r="B42" s="86"/>
      <c r="C42" s="86"/>
      <c r="D42" s="86"/>
      <c r="E42" s="86"/>
      <c r="F42" s="86"/>
      <c r="G42" s="533"/>
      <c r="H42" s="21">
        <v>4235</v>
      </c>
      <c r="I42" s="22" t="s">
        <v>108</v>
      </c>
      <c r="J42" s="23">
        <f>50000+320000</f>
        <v>370000</v>
      </c>
      <c r="K42" s="23"/>
      <c r="L42" s="230">
        <f t="shared" si="0"/>
        <v>370000</v>
      </c>
    </row>
    <row r="43" spans="1:12" ht="17.25" customHeight="1">
      <c r="A43" s="533"/>
      <c r="B43" s="86"/>
      <c r="C43" s="86"/>
      <c r="D43" s="86"/>
      <c r="E43" s="86"/>
      <c r="F43" s="86"/>
      <c r="G43" s="533"/>
      <c r="H43" s="21">
        <v>4237</v>
      </c>
      <c r="I43" s="22" t="s">
        <v>109</v>
      </c>
      <c r="J43" s="23">
        <v>80000</v>
      </c>
      <c r="K43" s="23"/>
      <c r="L43" s="11">
        <f t="shared" si="0"/>
        <v>80000</v>
      </c>
    </row>
    <row r="44" spans="1:12" ht="19.5" customHeight="1" thickBot="1">
      <c r="A44" s="533"/>
      <c r="B44" s="86"/>
      <c r="C44" s="86"/>
      <c r="D44" s="86"/>
      <c r="E44" s="86"/>
      <c r="F44" s="86"/>
      <c r="G44" s="533"/>
      <c r="H44" s="21">
        <v>4239</v>
      </c>
      <c r="I44" s="22" t="s">
        <v>9</v>
      </c>
      <c r="J44" s="23">
        <v>27000</v>
      </c>
      <c r="K44" s="23"/>
      <c r="L44" s="264">
        <f t="shared" si="0"/>
        <v>27000</v>
      </c>
    </row>
    <row r="45" spans="1:12" ht="19.5" customHeight="1" thickBot="1">
      <c r="A45" s="532">
        <v>9</v>
      </c>
      <c r="B45" s="80"/>
      <c r="C45" s="80"/>
      <c r="D45" s="80"/>
      <c r="E45" s="80"/>
      <c r="F45" s="80"/>
      <c r="G45" s="532">
        <v>229</v>
      </c>
      <c r="H45" s="111">
        <v>424</v>
      </c>
      <c r="I45" s="112" t="s">
        <v>25</v>
      </c>
      <c r="J45" s="113">
        <f>SUM(J46+J47)</f>
        <v>100000</v>
      </c>
      <c r="K45" s="113">
        <f>+K47+K46</f>
        <v>0</v>
      </c>
      <c r="L45" s="113">
        <f>SUM(J45+K45)</f>
        <v>100000</v>
      </c>
    </row>
    <row r="46" spans="1:12" ht="19.5" customHeight="1" thickBot="1">
      <c r="A46" s="533"/>
      <c r="B46" s="226"/>
      <c r="C46" s="226"/>
      <c r="D46" s="226"/>
      <c r="E46" s="226"/>
      <c r="F46" s="226"/>
      <c r="G46" s="533"/>
      <c r="H46" s="223">
        <v>4242</v>
      </c>
      <c r="I46" s="227" t="s">
        <v>10</v>
      </c>
      <c r="J46" s="228">
        <v>100000</v>
      </c>
      <c r="K46" s="228"/>
      <c r="L46" s="228"/>
    </row>
    <row r="47" spans="1:12" ht="20.25" customHeight="1" hidden="1" thickBot="1">
      <c r="A47" s="534"/>
      <c r="B47" s="86"/>
      <c r="C47" s="86"/>
      <c r="D47" s="86"/>
      <c r="E47" s="86"/>
      <c r="F47" s="86"/>
      <c r="G47" s="534"/>
      <c r="H47" s="9"/>
      <c r="I47" s="10"/>
      <c r="J47" s="11"/>
      <c r="K47" s="11"/>
      <c r="L47" s="8">
        <f t="shared" si="0"/>
        <v>0</v>
      </c>
    </row>
    <row r="48" spans="1:12" ht="16.5" customHeight="1" thickBot="1">
      <c r="A48" s="557">
        <v>10</v>
      </c>
      <c r="B48" s="84"/>
      <c r="C48" s="84"/>
      <c r="D48" s="84"/>
      <c r="E48" s="84"/>
      <c r="F48" s="84"/>
      <c r="G48" s="557">
        <v>230</v>
      </c>
      <c r="H48" s="111">
        <v>425</v>
      </c>
      <c r="I48" s="112" t="s">
        <v>11</v>
      </c>
      <c r="J48" s="113">
        <f>SUM(J49:J50)</f>
        <v>920000</v>
      </c>
      <c r="K48" s="113">
        <f>SUM(K49:K50)</f>
        <v>0</v>
      </c>
      <c r="L48" s="113">
        <f>SUM(L49:L50)</f>
        <v>920000</v>
      </c>
    </row>
    <row r="49" spans="1:12" ht="33.75" customHeight="1">
      <c r="A49" s="558"/>
      <c r="B49" s="87"/>
      <c r="C49" s="87"/>
      <c r="D49" s="87"/>
      <c r="E49" s="87"/>
      <c r="F49" s="87"/>
      <c r="G49" s="558"/>
      <c r="H49" s="28">
        <v>4251</v>
      </c>
      <c r="I49" s="20" t="s">
        <v>110</v>
      </c>
      <c r="J49" s="25">
        <v>490000</v>
      </c>
      <c r="K49" s="47">
        <v>0</v>
      </c>
      <c r="L49" s="58">
        <f t="shared" si="0"/>
        <v>490000</v>
      </c>
    </row>
    <row r="50" spans="1:12" ht="32.25" customHeight="1" thickBot="1">
      <c r="A50" s="558"/>
      <c r="B50" s="87"/>
      <c r="C50" s="87"/>
      <c r="D50" s="87"/>
      <c r="E50" s="87"/>
      <c r="F50" s="87"/>
      <c r="G50" s="558"/>
      <c r="H50" s="3">
        <v>4252</v>
      </c>
      <c r="I50" s="326" t="s">
        <v>111</v>
      </c>
      <c r="J50" s="4">
        <v>430000</v>
      </c>
      <c r="K50" s="46">
        <v>0</v>
      </c>
      <c r="L50" s="264">
        <f t="shared" si="0"/>
        <v>430000</v>
      </c>
    </row>
    <row r="51" spans="1:12" ht="17.25" customHeight="1" thickBot="1">
      <c r="A51" s="532">
        <v>11</v>
      </c>
      <c r="B51" s="60"/>
      <c r="C51" s="60"/>
      <c r="D51" s="60"/>
      <c r="E51" s="60"/>
      <c r="F51" s="60"/>
      <c r="G51" s="532">
        <v>231</v>
      </c>
      <c r="H51" s="114">
        <v>426</v>
      </c>
      <c r="I51" s="112" t="s">
        <v>12</v>
      </c>
      <c r="J51" s="113">
        <f>SUM(J52:J57)</f>
        <v>775000</v>
      </c>
      <c r="K51" s="113">
        <f>SUM(K52:K57)</f>
        <v>0</v>
      </c>
      <c r="L51" s="113">
        <f>SUM(L52:L57)</f>
        <v>775000</v>
      </c>
    </row>
    <row r="52" spans="1:12" ht="20.25" customHeight="1">
      <c r="A52" s="533"/>
      <c r="B52" s="88"/>
      <c r="C52" s="88"/>
      <c r="D52" s="88"/>
      <c r="E52" s="88"/>
      <c r="F52" s="88"/>
      <c r="G52" s="533"/>
      <c r="H52" s="70">
        <v>4261</v>
      </c>
      <c r="I52" s="18" t="s">
        <v>112</v>
      </c>
      <c r="J52" s="19">
        <v>130000</v>
      </c>
      <c r="K52" s="19"/>
      <c r="L52" s="58">
        <f t="shared" si="0"/>
        <v>130000</v>
      </c>
    </row>
    <row r="53" spans="1:12" ht="31.5" customHeight="1">
      <c r="A53" s="533"/>
      <c r="B53" s="88"/>
      <c r="C53" s="88"/>
      <c r="D53" s="88"/>
      <c r="E53" s="88"/>
      <c r="F53" s="88"/>
      <c r="G53" s="533"/>
      <c r="H53" s="71">
        <v>4263</v>
      </c>
      <c r="I53" s="22" t="s">
        <v>113</v>
      </c>
      <c r="J53" s="23">
        <v>100000</v>
      </c>
      <c r="K53" s="23"/>
      <c r="L53" s="298">
        <f t="shared" si="0"/>
        <v>100000</v>
      </c>
    </row>
    <row r="54" spans="1:12" ht="15" customHeight="1">
      <c r="A54" s="533"/>
      <c r="B54" s="88"/>
      <c r="C54" s="88"/>
      <c r="D54" s="88"/>
      <c r="E54" s="88"/>
      <c r="F54" s="88"/>
      <c r="G54" s="533"/>
      <c r="H54" s="98">
        <v>4264</v>
      </c>
      <c r="I54" s="99" t="s">
        <v>114</v>
      </c>
      <c r="J54" s="100">
        <v>250000</v>
      </c>
      <c r="K54" s="100"/>
      <c r="L54" s="230">
        <f t="shared" si="0"/>
        <v>250000</v>
      </c>
    </row>
    <row r="55" spans="1:12" ht="23.25" customHeight="1" hidden="1">
      <c r="A55" s="533"/>
      <c r="B55" s="180"/>
      <c r="C55" s="180"/>
      <c r="D55" s="180"/>
      <c r="E55" s="180"/>
      <c r="F55" s="180"/>
      <c r="G55" s="533"/>
      <c r="H55" s="21">
        <v>4266</v>
      </c>
      <c r="I55" s="55" t="s">
        <v>121</v>
      </c>
      <c r="J55" s="230">
        <v>0</v>
      </c>
      <c r="K55" s="306"/>
      <c r="L55" s="324">
        <f t="shared" si="0"/>
        <v>0</v>
      </c>
    </row>
    <row r="56" spans="1:12" ht="32.25" customHeight="1">
      <c r="A56" s="533"/>
      <c r="B56" s="88"/>
      <c r="C56" s="88"/>
      <c r="D56" s="88"/>
      <c r="E56" s="88"/>
      <c r="F56" s="88"/>
      <c r="G56" s="533"/>
      <c r="H56" s="21">
        <v>4268</v>
      </c>
      <c r="I56" s="305" t="s">
        <v>115</v>
      </c>
      <c r="J56" s="230">
        <v>80000</v>
      </c>
      <c r="K56" s="294"/>
      <c r="L56" s="298">
        <f t="shared" si="0"/>
        <v>80000</v>
      </c>
    </row>
    <row r="57" spans="1:12" ht="18.75" customHeight="1" thickBot="1">
      <c r="A57" s="533"/>
      <c r="B57" s="88"/>
      <c r="C57" s="88"/>
      <c r="D57" s="448"/>
      <c r="E57" s="448"/>
      <c r="F57" s="448"/>
      <c r="G57" s="534"/>
      <c r="H57" s="203">
        <v>4269</v>
      </c>
      <c r="I57" s="265" t="s">
        <v>34</v>
      </c>
      <c r="J57" s="298">
        <v>215000</v>
      </c>
      <c r="K57" s="328"/>
      <c r="L57" s="264">
        <f t="shared" si="0"/>
        <v>215000</v>
      </c>
    </row>
    <row r="58" spans="1:13" ht="18.75" customHeight="1" thickBot="1">
      <c r="A58" s="447"/>
      <c r="B58" s="447"/>
      <c r="C58" s="447"/>
      <c r="D58" s="243"/>
      <c r="E58" s="243"/>
      <c r="F58" s="243"/>
      <c r="G58" s="241">
        <v>232</v>
      </c>
      <c r="H58" s="330">
        <v>444</v>
      </c>
      <c r="I58" s="332" t="s">
        <v>161</v>
      </c>
      <c r="J58" s="333">
        <f>SUM(J59)</f>
        <v>10000</v>
      </c>
      <c r="K58" s="334">
        <f>SUM(K59)</f>
        <v>0</v>
      </c>
      <c r="L58" s="250">
        <f>SUM(L59)</f>
        <v>10000</v>
      </c>
      <c r="M58" s="253"/>
    </row>
    <row r="59" spans="1:13" ht="18.75" customHeight="1" thickBot="1">
      <c r="A59" s="241"/>
      <c r="B59" s="243"/>
      <c r="C59" s="243"/>
      <c r="D59" s="243"/>
      <c r="E59" s="243"/>
      <c r="F59" s="243"/>
      <c r="G59" s="241"/>
      <c r="H59" s="329">
        <v>4442</v>
      </c>
      <c r="I59" s="313" t="s">
        <v>160</v>
      </c>
      <c r="J59" s="260">
        <v>10000</v>
      </c>
      <c r="K59" s="260">
        <v>0</v>
      </c>
      <c r="L59" s="335">
        <f>J59</f>
        <v>10000</v>
      </c>
      <c r="M59" s="253"/>
    </row>
    <row r="60" spans="1:12" ht="15" customHeight="1" thickBot="1">
      <c r="A60" s="240">
        <v>12</v>
      </c>
      <c r="B60" s="245"/>
      <c r="C60" s="245"/>
      <c r="D60" s="245"/>
      <c r="E60" s="245"/>
      <c r="F60" s="245"/>
      <c r="G60" s="240">
        <v>233</v>
      </c>
      <c r="H60" s="336">
        <v>465</v>
      </c>
      <c r="I60" s="337" t="s">
        <v>83</v>
      </c>
      <c r="J60" s="178">
        <f>+J61</f>
        <v>1372279</v>
      </c>
      <c r="K60" s="178">
        <f>+K61</f>
        <v>0</v>
      </c>
      <c r="L60" s="331">
        <f>+L61</f>
        <v>1372279</v>
      </c>
    </row>
    <row r="61" spans="1:12" ht="33.75" customHeight="1" thickBot="1">
      <c r="A61" s="242"/>
      <c r="B61" s="244"/>
      <c r="C61" s="244"/>
      <c r="D61" s="244"/>
      <c r="E61" s="244"/>
      <c r="F61" s="244"/>
      <c r="G61" s="242"/>
      <c r="H61" s="275">
        <v>4651</v>
      </c>
      <c r="I61" s="339" t="s">
        <v>116</v>
      </c>
      <c r="J61" s="340">
        <v>1372279</v>
      </c>
      <c r="K61" s="340"/>
      <c r="L61" s="260">
        <f t="shared" si="0"/>
        <v>1372279</v>
      </c>
    </row>
    <row r="62" spans="1:12" ht="15" customHeight="1" thickBot="1">
      <c r="A62" s="532">
        <v>13</v>
      </c>
      <c r="B62" s="80"/>
      <c r="C62" s="80"/>
      <c r="D62" s="80"/>
      <c r="E62" s="80"/>
      <c r="F62" s="80"/>
      <c r="G62" s="532">
        <v>234</v>
      </c>
      <c r="H62" s="111">
        <v>482</v>
      </c>
      <c r="I62" s="338" t="s">
        <v>14</v>
      </c>
      <c r="J62" s="178">
        <f>SUM(J63:J64)</f>
        <v>55000</v>
      </c>
      <c r="K62" s="178">
        <f>SUM(K63:K64)</f>
        <v>0</v>
      </c>
      <c r="L62" s="178">
        <f>SUM(L63:L64)</f>
        <v>55000</v>
      </c>
    </row>
    <row r="63" spans="1:12" ht="20.25" customHeight="1">
      <c r="A63" s="533"/>
      <c r="B63" s="86"/>
      <c r="C63" s="86"/>
      <c r="D63" s="86"/>
      <c r="E63" s="86"/>
      <c r="F63" s="86"/>
      <c r="G63" s="533"/>
      <c r="H63" s="70">
        <v>4821</v>
      </c>
      <c r="I63" s="18" t="s">
        <v>117</v>
      </c>
      <c r="J63" s="19">
        <v>25000</v>
      </c>
      <c r="K63" s="25"/>
      <c r="L63" s="11">
        <f t="shared" si="0"/>
        <v>25000</v>
      </c>
    </row>
    <row r="64" spans="1:12" ht="21" customHeight="1" thickBot="1">
      <c r="A64" s="533"/>
      <c r="B64" s="88"/>
      <c r="C64" s="88"/>
      <c r="D64" s="88"/>
      <c r="E64" s="88"/>
      <c r="F64" s="88"/>
      <c r="G64" s="533"/>
      <c r="H64" s="325">
        <v>4822</v>
      </c>
      <c r="I64" s="265" t="s">
        <v>118</v>
      </c>
      <c r="J64" s="264">
        <v>30000</v>
      </c>
      <c r="K64" s="263"/>
      <c r="L64" s="264">
        <f t="shared" si="0"/>
        <v>30000</v>
      </c>
    </row>
    <row r="65" spans="1:12" ht="21" customHeight="1" hidden="1" thickBot="1">
      <c r="A65" s="532">
        <v>14</v>
      </c>
      <c r="B65" s="80"/>
      <c r="C65" s="80"/>
      <c r="D65" s="80"/>
      <c r="E65" s="80"/>
      <c r="F65" s="80"/>
      <c r="G65" s="532"/>
      <c r="H65" s="111">
        <v>483</v>
      </c>
      <c r="I65" s="338" t="s">
        <v>15</v>
      </c>
      <c r="J65" s="178">
        <f>J66</f>
        <v>0</v>
      </c>
      <c r="K65" s="178">
        <f>K66</f>
        <v>0</v>
      </c>
      <c r="L65" s="113">
        <f>SUM(J65+K65)</f>
        <v>0</v>
      </c>
    </row>
    <row r="66" spans="1:12" ht="33.75" customHeight="1" hidden="1" thickBot="1">
      <c r="A66" s="533"/>
      <c r="B66" s="179"/>
      <c r="C66" s="179"/>
      <c r="D66" s="179"/>
      <c r="E66" s="179"/>
      <c r="F66" s="179"/>
      <c r="G66" s="533"/>
      <c r="H66" s="6">
        <v>4831</v>
      </c>
      <c r="I66" s="7" t="s">
        <v>77</v>
      </c>
      <c r="J66" s="8">
        <v>0</v>
      </c>
      <c r="K66" s="8"/>
      <c r="L66" s="30">
        <f t="shared" si="0"/>
        <v>0</v>
      </c>
    </row>
    <row r="67" spans="1:12" ht="18.75" customHeight="1" thickBot="1">
      <c r="A67" s="559">
        <v>15</v>
      </c>
      <c r="B67" s="532"/>
      <c r="C67" s="532"/>
      <c r="D67" s="532"/>
      <c r="E67" s="532"/>
      <c r="F67" s="532"/>
      <c r="G67" s="554">
        <v>235</v>
      </c>
      <c r="H67" s="114">
        <v>512</v>
      </c>
      <c r="I67" s="112" t="s">
        <v>16</v>
      </c>
      <c r="J67" s="113">
        <f>SUM(J68:J69)</f>
        <v>835000</v>
      </c>
      <c r="K67" s="113">
        <f>SUM(K69:K69)</f>
        <v>281798</v>
      </c>
      <c r="L67" s="113">
        <f>SUM(J67+K67)</f>
        <v>1116798</v>
      </c>
    </row>
    <row r="68" spans="1:12" ht="15.75">
      <c r="A68" s="560"/>
      <c r="B68" s="533"/>
      <c r="C68" s="533"/>
      <c r="D68" s="533"/>
      <c r="E68" s="533"/>
      <c r="F68" s="533"/>
      <c r="G68" s="555"/>
      <c r="H68" s="221">
        <v>5122</v>
      </c>
      <c r="I68" s="57" t="s">
        <v>17</v>
      </c>
      <c r="J68" s="58">
        <f>235000+100000</f>
        <v>335000</v>
      </c>
      <c r="K68" s="58"/>
      <c r="L68" s="281">
        <f>SUM(J68+K68)</f>
        <v>335000</v>
      </c>
    </row>
    <row r="69" spans="1:12" ht="16.5" thickBot="1">
      <c r="A69" s="560"/>
      <c r="B69" s="533"/>
      <c r="C69" s="533"/>
      <c r="D69" s="533"/>
      <c r="E69" s="533"/>
      <c r="F69" s="533"/>
      <c r="G69" s="556"/>
      <c r="H69" s="203">
        <v>5126</v>
      </c>
      <c r="I69" s="265" t="s">
        <v>225</v>
      </c>
      <c r="J69" s="264">
        <v>500000</v>
      </c>
      <c r="K69" s="264">
        <v>281798</v>
      </c>
      <c r="L69" s="8">
        <f t="shared" si="0"/>
        <v>781798</v>
      </c>
    </row>
    <row r="70" spans="1:12" ht="19.5" customHeight="1" thickBot="1">
      <c r="A70" s="551" t="s">
        <v>122</v>
      </c>
      <c r="B70" s="552"/>
      <c r="C70" s="552"/>
      <c r="D70" s="552"/>
      <c r="E70" s="552"/>
      <c r="F70" s="552"/>
      <c r="G70" s="552"/>
      <c r="H70" s="552"/>
      <c r="I70" s="553"/>
      <c r="J70" s="113">
        <f>SUM(J13+J15+J19+J23+J25+J27+J36+J38+J45+J48+J51+J58+J60+J62+J65+J67)</f>
        <v>20476333</v>
      </c>
      <c r="K70" s="113">
        <f>SUM(K13+K15+K19+K23+K25+K27+K36+K38+K45+K48+K51+K60+K62+K65+K67)</f>
        <v>325798</v>
      </c>
      <c r="L70" s="113">
        <f>SUM(L13+L15+L19+L23+L25+L27+L36+L38+L45+L48+L51+L58+L60+L62+L65+L67)</f>
        <v>20802131</v>
      </c>
    </row>
    <row r="71" spans="1:12" ht="15.75">
      <c r="A71" s="96"/>
      <c r="B71" s="531" t="s">
        <v>19</v>
      </c>
      <c r="C71" s="531"/>
      <c r="D71" s="531"/>
      <c r="E71" s="531"/>
      <c r="F71" s="531"/>
      <c r="G71" s="531"/>
      <c r="H71" s="96"/>
      <c r="I71" s="96"/>
      <c r="J71" s="96"/>
      <c r="K71" s="96"/>
      <c r="L71" s="95"/>
    </row>
    <row r="72" spans="1:12" ht="15.75">
      <c r="A72" s="94"/>
      <c r="B72" s="94"/>
      <c r="C72" s="513" t="s">
        <v>273</v>
      </c>
      <c r="D72" s="513"/>
      <c r="E72" s="513"/>
      <c r="F72" s="513"/>
      <c r="G72" s="513"/>
      <c r="H72" s="513"/>
      <c r="I72" s="94"/>
      <c r="J72" s="97">
        <v>20476333</v>
      </c>
      <c r="K72" s="97"/>
      <c r="L72" s="229">
        <v>20476333</v>
      </c>
    </row>
    <row r="73" spans="1:12" ht="15.75">
      <c r="A73" s="94"/>
      <c r="B73" s="94"/>
      <c r="C73" s="513" t="s">
        <v>120</v>
      </c>
      <c r="D73" s="513"/>
      <c r="E73" s="513"/>
      <c r="F73" s="513"/>
      <c r="G73" s="513"/>
      <c r="H73" s="513"/>
      <c r="I73" s="94"/>
      <c r="J73" s="97"/>
      <c r="K73" s="97"/>
      <c r="L73" s="229"/>
    </row>
    <row r="74" spans="1:12" ht="15.75">
      <c r="A74" s="94"/>
      <c r="B74" s="94"/>
      <c r="C74" s="235" t="s">
        <v>158</v>
      </c>
      <c r="D74" s="235"/>
      <c r="E74" s="235"/>
      <c r="F74" s="235"/>
      <c r="G74" s="235"/>
      <c r="H74" s="235"/>
      <c r="I74" s="94"/>
      <c r="J74" s="97"/>
      <c r="K74" s="236">
        <v>37000</v>
      </c>
      <c r="L74" s="229">
        <v>37000</v>
      </c>
    </row>
    <row r="75" spans="1:12" ht="17.25" customHeight="1">
      <c r="A75" s="94"/>
      <c r="B75" s="94"/>
      <c r="C75" s="195" t="s">
        <v>219</v>
      </c>
      <c r="D75" s="195"/>
      <c r="E75" s="195"/>
      <c r="F75" s="195"/>
      <c r="G75" s="195"/>
      <c r="H75" s="195"/>
      <c r="I75" s="94"/>
      <c r="J75" s="97"/>
      <c r="K75" s="97">
        <v>288798</v>
      </c>
      <c r="L75" s="229">
        <v>288798</v>
      </c>
    </row>
    <row r="76" spans="1:12" ht="33" customHeight="1" thickBot="1">
      <c r="A76" s="94"/>
      <c r="B76" s="94"/>
      <c r="C76" s="194"/>
      <c r="D76" s="195"/>
      <c r="E76" s="195"/>
      <c r="F76" s="195"/>
      <c r="G76" s="195"/>
      <c r="H76" s="195"/>
      <c r="I76" s="94"/>
      <c r="J76" s="97">
        <f>J72</f>
        <v>20476333</v>
      </c>
      <c r="K76" s="97">
        <f>K73+K74+K75</f>
        <v>325798</v>
      </c>
      <c r="L76" s="229">
        <f>L72+L73+L74+L75</f>
        <v>20802131</v>
      </c>
    </row>
    <row r="77" spans="1:12" ht="33" customHeight="1" hidden="1" thickBot="1">
      <c r="A77" s="94"/>
      <c r="B77" s="94"/>
      <c r="C77" s="194"/>
      <c r="D77" s="195"/>
      <c r="E77" s="195"/>
      <c r="F77" s="195"/>
      <c r="G77" s="195"/>
      <c r="H77" s="195"/>
      <c r="I77" s="94"/>
      <c r="J77" s="97"/>
      <c r="K77" s="97"/>
      <c r="L77" s="229"/>
    </row>
    <row r="78" spans="1:12" ht="15">
      <c r="A78" s="509" t="s">
        <v>20</v>
      </c>
      <c r="B78" s="535" t="s">
        <v>85</v>
      </c>
      <c r="C78" s="535" t="s">
        <v>86</v>
      </c>
      <c r="D78" s="519" t="s">
        <v>96</v>
      </c>
      <c r="E78" s="522" t="s">
        <v>97</v>
      </c>
      <c r="F78" s="522" t="s">
        <v>91</v>
      </c>
      <c r="G78" s="525" t="s">
        <v>87</v>
      </c>
      <c r="H78" s="525" t="s">
        <v>88</v>
      </c>
      <c r="I78" s="545" t="s">
        <v>0</v>
      </c>
      <c r="J78" s="509" t="s">
        <v>131</v>
      </c>
      <c r="K78" s="509" t="s">
        <v>21</v>
      </c>
      <c r="L78" s="509" t="s">
        <v>22</v>
      </c>
    </row>
    <row r="79" spans="1:12" ht="15.75" thickBot="1">
      <c r="A79" s="543"/>
      <c r="B79" s="536"/>
      <c r="C79" s="536"/>
      <c r="D79" s="520"/>
      <c r="E79" s="523"/>
      <c r="F79" s="523"/>
      <c r="G79" s="526"/>
      <c r="H79" s="526"/>
      <c r="I79" s="546"/>
      <c r="J79" s="510"/>
      <c r="K79" s="510"/>
      <c r="L79" s="510"/>
    </row>
    <row r="80" spans="1:12" ht="59.25" customHeight="1">
      <c r="A80" s="543"/>
      <c r="B80" s="536"/>
      <c r="C80" s="536"/>
      <c r="D80" s="520"/>
      <c r="E80" s="523"/>
      <c r="F80" s="523"/>
      <c r="G80" s="526"/>
      <c r="H80" s="526"/>
      <c r="I80" s="546"/>
      <c r="J80" s="183" t="s">
        <v>23</v>
      </c>
      <c r="K80" s="183" t="s">
        <v>24</v>
      </c>
      <c r="L80" s="183"/>
    </row>
    <row r="81" spans="1:12" ht="100.5" thickBot="1">
      <c r="A81" s="459"/>
      <c r="B81" s="458" t="s">
        <v>232</v>
      </c>
      <c r="C81" s="456" t="s">
        <v>89</v>
      </c>
      <c r="D81" s="454" t="s">
        <v>93</v>
      </c>
      <c r="E81" s="454" t="s">
        <v>233</v>
      </c>
      <c r="F81" s="452" t="s">
        <v>92</v>
      </c>
      <c r="G81" s="184"/>
      <c r="H81" s="184"/>
      <c r="I81" s="451"/>
      <c r="J81" s="185"/>
      <c r="K81" s="185"/>
      <c r="L81" s="185"/>
    </row>
    <row r="82" spans="1:12" ht="16.5" customHeight="1" thickBot="1">
      <c r="A82" s="537">
        <v>1</v>
      </c>
      <c r="B82" s="186"/>
      <c r="C82" s="457"/>
      <c r="D82" s="455"/>
      <c r="E82" s="455"/>
      <c r="F82" s="453"/>
      <c r="G82" s="532">
        <v>237</v>
      </c>
      <c r="H82" s="115">
        <v>421</v>
      </c>
      <c r="I82" s="189" t="s">
        <v>5</v>
      </c>
      <c r="J82" s="117">
        <f>SUM(J83:J84)</f>
        <v>1240000</v>
      </c>
      <c r="K82" s="117">
        <f>SUM(K83:K84)</f>
        <v>0</v>
      </c>
      <c r="L82" s="117">
        <f>SUM(L83:L84)</f>
        <v>1240000</v>
      </c>
    </row>
    <row r="83" spans="1:12" ht="15.75">
      <c r="A83" s="537"/>
      <c r="B83" s="186"/>
      <c r="C83" s="186"/>
      <c r="D83" s="187"/>
      <c r="E83" s="187"/>
      <c r="F83" s="188"/>
      <c r="G83" s="533"/>
      <c r="H83" s="492">
        <v>4215</v>
      </c>
      <c r="I83" s="341" t="s">
        <v>103</v>
      </c>
      <c r="J83" s="281">
        <v>40000</v>
      </c>
      <c r="K83" s="281"/>
      <c r="L83" s="281">
        <f>SUM(J83+K83)</f>
        <v>40000</v>
      </c>
    </row>
    <row r="84" spans="1:12" ht="16.5" thickBot="1">
      <c r="A84" s="538"/>
      <c r="B84" s="186"/>
      <c r="C84" s="186"/>
      <c r="D84" s="187"/>
      <c r="E84" s="187"/>
      <c r="F84" s="188"/>
      <c r="G84" s="534"/>
      <c r="H84" s="493">
        <v>4216</v>
      </c>
      <c r="I84" s="342" t="s">
        <v>151</v>
      </c>
      <c r="J84" s="343">
        <v>1200000</v>
      </c>
      <c r="K84" s="344"/>
      <c r="L84" s="8">
        <f>SUM(J84+K84)</f>
        <v>1200000</v>
      </c>
    </row>
    <row r="85" spans="1:12" ht="16.5" thickBot="1">
      <c r="A85" s="532">
        <v>2</v>
      </c>
      <c r="B85" s="80"/>
      <c r="C85" s="80"/>
      <c r="D85" s="80"/>
      <c r="E85" s="80"/>
      <c r="F85" s="80"/>
      <c r="G85" s="532">
        <v>238</v>
      </c>
      <c r="H85" s="115">
        <v>422</v>
      </c>
      <c r="I85" s="116" t="s">
        <v>6</v>
      </c>
      <c r="J85" s="117">
        <f>SUM(J86:J87)</f>
        <v>70000</v>
      </c>
      <c r="K85" s="117">
        <f>SUM(K86:K86)</f>
        <v>0</v>
      </c>
      <c r="L85" s="117">
        <f>SUM(L86:L87)</f>
        <v>70000</v>
      </c>
    </row>
    <row r="86" spans="1:12" ht="31.5">
      <c r="A86" s="533"/>
      <c r="B86" s="86"/>
      <c r="C86" s="86"/>
      <c r="D86" s="86"/>
      <c r="E86" s="86"/>
      <c r="F86" s="86"/>
      <c r="G86" s="533"/>
      <c r="H86" s="17">
        <v>4221</v>
      </c>
      <c r="I86" s="57" t="s">
        <v>166</v>
      </c>
      <c r="J86" s="281">
        <v>50000</v>
      </c>
      <c r="K86" s="59"/>
      <c r="L86" s="58">
        <f>SUM(J86+K86)</f>
        <v>50000</v>
      </c>
    </row>
    <row r="87" spans="1:12" ht="48" thickBot="1">
      <c r="A87" s="266"/>
      <c r="B87" s="266"/>
      <c r="C87" s="266"/>
      <c r="D87" s="266"/>
      <c r="E87" s="266"/>
      <c r="F87" s="266"/>
      <c r="G87" s="266"/>
      <c r="H87" s="9">
        <v>4222</v>
      </c>
      <c r="I87" s="265" t="s">
        <v>167</v>
      </c>
      <c r="J87" s="11">
        <v>20000</v>
      </c>
      <c r="K87" s="263"/>
      <c r="L87" s="264">
        <f>SUM(J87+K87)</f>
        <v>20000</v>
      </c>
    </row>
    <row r="88" spans="1:12" ht="16.5" thickBot="1">
      <c r="A88" s="532">
        <v>3</v>
      </c>
      <c r="B88" s="80"/>
      <c r="C88" s="80"/>
      <c r="D88" s="80"/>
      <c r="E88" s="80"/>
      <c r="F88" s="80"/>
      <c r="G88" s="532">
        <v>239</v>
      </c>
      <c r="H88" s="118">
        <v>423</v>
      </c>
      <c r="I88" s="116" t="s">
        <v>7</v>
      </c>
      <c r="J88" s="117">
        <f>SUM(J89:J94)</f>
        <v>6191400</v>
      </c>
      <c r="K88" s="117">
        <f>SUM(K89:K94)</f>
        <v>0</v>
      </c>
      <c r="L88" s="117">
        <f>SUM(L89:L94)</f>
        <v>6191400</v>
      </c>
    </row>
    <row r="89" spans="1:12" ht="31.5">
      <c r="A89" s="533"/>
      <c r="B89" s="86"/>
      <c r="C89" s="86"/>
      <c r="D89" s="86"/>
      <c r="E89" s="86"/>
      <c r="F89" s="86"/>
      <c r="G89" s="533"/>
      <c r="H89" s="21">
        <v>4233</v>
      </c>
      <c r="I89" s="22" t="s">
        <v>106</v>
      </c>
      <c r="J89" s="23">
        <v>400000</v>
      </c>
      <c r="K89" s="23"/>
      <c r="L89" s="58">
        <f aca="true" t="shared" si="1" ref="L89:L94">SUM(J89+K89)</f>
        <v>400000</v>
      </c>
    </row>
    <row r="90" spans="1:12" ht="15.75">
      <c r="A90" s="533"/>
      <c r="B90" s="86"/>
      <c r="C90" s="86"/>
      <c r="D90" s="86"/>
      <c r="E90" s="86"/>
      <c r="F90" s="86"/>
      <c r="G90" s="533"/>
      <c r="H90" s="21">
        <v>4234</v>
      </c>
      <c r="I90" s="22" t="s">
        <v>107</v>
      </c>
      <c r="J90" s="23">
        <f>100000+300000</f>
        <v>400000</v>
      </c>
      <c r="K90" s="23"/>
      <c r="L90" s="230">
        <f t="shared" si="1"/>
        <v>400000</v>
      </c>
    </row>
    <row r="91" spans="1:12" ht="15.75">
      <c r="A91" s="533"/>
      <c r="B91" s="86"/>
      <c r="C91" s="86"/>
      <c r="D91" s="86"/>
      <c r="E91" s="86"/>
      <c r="F91" s="86"/>
      <c r="G91" s="533"/>
      <c r="H91" s="21">
        <v>4235</v>
      </c>
      <c r="I91" s="22" t="s">
        <v>108</v>
      </c>
      <c r="J91" s="23">
        <f>1441000+70000+30000</f>
        <v>1541000</v>
      </c>
      <c r="K91" s="23"/>
      <c r="L91" s="230">
        <f t="shared" si="1"/>
        <v>1541000</v>
      </c>
    </row>
    <row r="92" spans="1:12" ht="15.75">
      <c r="A92" s="533"/>
      <c r="B92" s="86"/>
      <c r="C92" s="86"/>
      <c r="D92" s="86"/>
      <c r="E92" s="86"/>
      <c r="F92" s="86"/>
      <c r="G92" s="533"/>
      <c r="H92" s="21">
        <v>4236</v>
      </c>
      <c r="I92" s="22" t="s">
        <v>8</v>
      </c>
      <c r="J92" s="23">
        <v>630000</v>
      </c>
      <c r="K92" s="23"/>
      <c r="L92" s="11">
        <f t="shared" si="1"/>
        <v>630000</v>
      </c>
    </row>
    <row r="93" spans="1:13" ht="15.75">
      <c r="A93" s="533"/>
      <c r="B93" s="86"/>
      <c r="C93" s="86"/>
      <c r="D93" s="86"/>
      <c r="E93" s="86"/>
      <c r="F93" s="86"/>
      <c r="G93" s="533"/>
      <c r="H93" s="21">
        <v>4237</v>
      </c>
      <c r="I93" s="22" t="s">
        <v>109</v>
      </c>
      <c r="J93" s="237">
        <v>250000</v>
      </c>
      <c r="K93" s="23"/>
      <c r="L93" s="230">
        <f t="shared" si="1"/>
        <v>250000</v>
      </c>
      <c r="M93" s="232"/>
    </row>
    <row r="94" spans="1:12" ht="16.5" thickBot="1">
      <c r="A94" s="533"/>
      <c r="B94" s="86"/>
      <c r="C94" s="86"/>
      <c r="D94" s="86"/>
      <c r="E94" s="86"/>
      <c r="F94" s="86"/>
      <c r="G94" s="533"/>
      <c r="H94" s="21">
        <v>4239</v>
      </c>
      <c r="I94" s="22" t="s">
        <v>9</v>
      </c>
      <c r="J94" s="23">
        <f>2950000+20400</f>
        <v>2970400</v>
      </c>
      <c r="K94" s="23"/>
      <c r="L94" s="8">
        <f t="shared" si="1"/>
        <v>2970400</v>
      </c>
    </row>
    <row r="95" spans="1:12" ht="16.5" thickBot="1">
      <c r="A95" s="532">
        <v>4</v>
      </c>
      <c r="B95" s="80"/>
      <c r="C95" s="80"/>
      <c r="D95" s="80"/>
      <c r="E95" s="80"/>
      <c r="F95" s="80"/>
      <c r="G95" s="532">
        <v>240</v>
      </c>
      <c r="H95" s="118">
        <v>424</v>
      </c>
      <c r="I95" s="116" t="s">
        <v>25</v>
      </c>
      <c r="J95" s="117">
        <f>+J98+J96+J97</f>
        <v>7836600</v>
      </c>
      <c r="K95" s="117">
        <f>+K98</f>
        <v>30000</v>
      </c>
      <c r="L95" s="117">
        <f>+L98+L96+L97</f>
        <v>7866600</v>
      </c>
    </row>
    <row r="96" spans="1:13" ht="15.75">
      <c r="A96" s="533"/>
      <c r="B96" s="478"/>
      <c r="C96" s="478"/>
      <c r="D96" s="478"/>
      <c r="E96" s="478"/>
      <c r="F96" s="478"/>
      <c r="G96" s="533"/>
      <c r="H96" s="17">
        <v>4242</v>
      </c>
      <c r="I96" s="10" t="s">
        <v>10</v>
      </c>
      <c r="J96" s="238">
        <f>7100000+86600</f>
        <v>7186600</v>
      </c>
      <c r="K96" s="281">
        <v>0</v>
      </c>
      <c r="L96" s="58">
        <f>SUM(J96+K96)</f>
        <v>7186600</v>
      </c>
      <c r="M96" s="232"/>
    </row>
    <row r="97" spans="1:13" ht="15.75">
      <c r="A97" s="533"/>
      <c r="B97" s="478"/>
      <c r="C97" s="478"/>
      <c r="D97" s="478"/>
      <c r="E97" s="478"/>
      <c r="F97" s="478"/>
      <c r="G97" s="533"/>
      <c r="H97" s="9">
        <v>4243</v>
      </c>
      <c r="I97" s="308" t="s">
        <v>243</v>
      </c>
      <c r="J97" s="466">
        <v>150000</v>
      </c>
      <c r="K97" s="230">
        <v>0</v>
      </c>
      <c r="L97" s="298">
        <f>SUM(J97+K97)</f>
        <v>150000</v>
      </c>
      <c r="M97" s="232"/>
    </row>
    <row r="98" spans="1:13" ht="32.25" thickBot="1">
      <c r="A98" s="534"/>
      <c r="B98" s="86"/>
      <c r="C98" s="86"/>
      <c r="D98" s="86"/>
      <c r="E98" s="86"/>
      <c r="F98" s="86"/>
      <c r="G98" s="534"/>
      <c r="H98" s="203">
        <v>4249</v>
      </c>
      <c r="I98" s="265" t="s">
        <v>147</v>
      </c>
      <c r="J98" s="238">
        <v>500000</v>
      </c>
      <c r="K98" s="11">
        <v>30000</v>
      </c>
      <c r="L98" s="264">
        <f>SUM(J98+K98)</f>
        <v>530000</v>
      </c>
      <c r="M98" s="232"/>
    </row>
    <row r="99" spans="1:12" ht="15.75">
      <c r="A99" s="532">
        <v>5</v>
      </c>
      <c r="B99" s="60"/>
      <c r="C99" s="60"/>
      <c r="D99" s="60"/>
      <c r="E99" s="60"/>
      <c r="F99" s="60"/>
      <c r="G99" s="532">
        <v>241</v>
      </c>
      <c r="H99" s="191">
        <v>426</v>
      </c>
      <c r="I99" s="192" t="s">
        <v>12</v>
      </c>
      <c r="J99" s="190">
        <f>SUM(J100:J103)</f>
        <v>1510000</v>
      </c>
      <c r="K99" s="190">
        <f>SUM(K100:K103)</f>
        <v>475750</v>
      </c>
      <c r="L99" s="190">
        <f>SUM(L100:L103)</f>
        <v>1985750</v>
      </c>
    </row>
    <row r="100" spans="1:12" ht="15.75">
      <c r="A100" s="533"/>
      <c r="B100" s="88"/>
      <c r="C100" s="88"/>
      <c r="D100" s="88"/>
      <c r="E100" s="88"/>
      <c r="F100" s="88"/>
      <c r="G100" s="539"/>
      <c r="H100" s="21">
        <v>4264</v>
      </c>
      <c r="I100" s="55" t="s">
        <v>114</v>
      </c>
      <c r="J100" s="294">
        <v>110000</v>
      </c>
      <c r="K100" s="230"/>
      <c r="L100" s="230">
        <f>SUM(J100+K100)</f>
        <v>110000</v>
      </c>
    </row>
    <row r="101" spans="1:12" ht="15.75">
      <c r="A101" s="533"/>
      <c r="B101" s="479"/>
      <c r="C101" s="479"/>
      <c r="D101" s="479"/>
      <c r="E101" s="479"/>
      <c r="F101" s="479"/>
      <c r="G101" s="539"/>
      <c r="H101" s="21">
        <v>4266</v>
      </c>
      <c r="I101" s="480" t="s">
        <v>13</v>
      </c>
      <c r="J101" s="298">
        <v>100000</v>
      </c>
      <c r="K101" s="306">
        <f>355750-100000</f>
        <v>255750</v>
      </c>
      <c r="L101" s="230">
        <f>SUM(J101+K101)</f>
        <v>355750</v>
      </c>
    </row>
    <row r="102" spans="1:12" ht="31.5">
      <c r="A102" s="533"/>
      <c r="B102" s="479"/>
      <c r="C102" s="479"/>
      <c r="D102" s="479"/>
      <c r="E102" s="479"/>
      <c r="F102" s="479"/>
      <c r="G102" s="539"/>
      <c r="H102" s="433">
        <v>4268</v>
      </c>
      <c r="I102" s="305" t="s">
        <v>115</v>
      </c>
      <c r="J102" s="298">
        <f>935000+360000</f>
        <v>1295000</v>
      </c>
      <c r="K102" s="306">
        <v>100000</v>
      </c>
      <c r="L102" s="230">
        <f>SUM(J102+K102)</f>
        <v>1395000</v>
      </c>
    </row>
    <row r="103" spans="1:12" ht="32.25" thickBot="1">
      <c r="A103" s="533"/>
      <c r="B103" s="88"/>
      <c r="C103" s="88"/>
      <c r="D103" s="88"/>
      <c r="E103" s="88"/>
      <c r="F103" s="88"/>
      <c r="G103" s="539"/>
      <c r="H103" s="203">
        <v>4269</v>
      </c>
      <c r="I103" s="481" t="s">
        <v>34</v>
      </c>
      <c r="J103" s="264">
        <f>15000-10000</f>
        <v>5000</v>
      </c>
      <c r="K103" s="306">
        <v>120000</v>
      </c>
      <c r="L103" s="344">
        <f>SUM(J103+K103)</f>
        <v>125000</v>
      </c>
    </row>
    <row r="104" spans="1:12" ht="21" customHeight="1" thickBot="1">
      <c r="A104" s="540" t="s">
        <v>123</v>
      </c>
      <c r="B104" s="541"/>
      <c r="C104" s="541"/>
      <c r="D104" s="541"/>
      <c r="E104" s="541"/>
      <c r="F104" s="541"/>
      <c r="G104" s="541"/>
      <c r="H104" s="541"/>
      <c r="I104" s="542"/>
      <c r="J104" s="117">
        <f>SUM(J82+J85+J88+J95+J99)</f>
        <v>16848000</v>
      </c>
      <c r="K104" s="117">
        <f>SUM(K82+K85+K88+K95+K99)</f>
        <v>505750</v>
      </c>
      <c r="L104" s="117">
        <f>SUM(L82+L85+L88+L95+L99)</f>
        <v>17353750</v>
      </c>
    </row>
    <row r="105" spans="1:12" ht="15.75">
      <c r="A105" s="96"/>
      <c r="B105" s="531" t="s">
        <v>19</v>
      </c>
      <c r="C105" s="531"/>
      <c r="D105" s="531"/>
      <c r="E105" s="531"/>
      <c r="F105" s="531"/>
      <c r="G105" s="531"/>
      <c r="H105" s="96"/>
      <c r="I105" s="96"/>
      <c r="J105" s="96"/>
      <c r="K105" s="96"/>
      <c r="L105" s="95"/>
    </row>
    <row r="106" spans="1:12" ht="15.75">
      <c r="A106" s="94"/>
      <c r="B106" s="94"/>
      <c r="C106" s="513" t="s">
        <v>273</v>
      </c>
      <c r="D106" s="513"/>
      <c r="E106" s="513"/>
      <c r="F106" s="513"/>
      <c r="G106" s="513"/>
      <c r="H106" s="513"/>
      <c r="I106" s="94"/>
      <c r="J106" s="97">
        <v>16711000</v>
      </c>
      <c r="K106" s="97"/>
      <c r="L106" s="229">
        <f>J106</f>
        <v>16711000</v>
      </c>
    </row>
    <row r="107" spans="1:12" ht="15.75">
      <c r="A107" s="94"/>
      <c r="B107" s="94"/>
      <c r="C107" s="513" t="s">
        <v>120</v>
      </c>
      <c r="D107" s="513"/>
      <c r="E107" s="513"/>
      <c r="F107" s="513"/>
      <c r="G107" s="513"/>
      <c r="H107" s="513"/>
      <c r="I107" s="94"/>
      <c r="J107" s="97"/>
      <c r="K107" s="97">
        <v>505750</v>
      </c>
      <c r="L107" s="229">
        <f>K107</f>
        <v>505750</v>
      </c>
    </row>
    <row r="108" spans="1:12" ht="15.75">
      <c r="A108" s="94"/>
      <c r="B108" s="94"/>
      <c r="C108" s="440" t="s">
        <v>221</v>
      </c>
      <c r="D108" s="440"/>
      <c r="E108" s="440"/>
      <c r="F108" s="440"/>
      <c r="G108" s="440"/>
      <c r="H108" s="440"/>
      <c r="I108" s="94"/>
      <c r="J108" s="97">
        <v>137000</v>
      </c>
      <c r="K108" s="97"/>
      <c r="L108" s="229">
        <v>137000</v>
      </c>
    </row>
    <row r="109" ht="24.75" customHeight="1">
      <c r="L109" s="437">
        <f>L106+L107+L108</f>
        <v>17353750</v>
      </c>
    </row>
    <row r="110" spans="1:12" ht="14.25" hidden="1">
      <c r="A110" s="509" t="s">
        <v>20</v>
      </c>
      <c r="B110" s="535" t="s">
        <v>85</v>
      </c>
      <c r="C110" s="535" t="s">
        <v>86</v>
      </c>
      <c r="D110" s="519" t="s">
        <v>96</v>
      </c>
      <c r="E110" s="522" t="s">
        <v>99</v>
      </c>
      <c r="F110" s="522" t="s">
        <v>91</v>
      </c>
      <c r="G110" s="525" t="s">
        <v>87</v>
      </c>
      <c r="H110" s="525" t="s">
        <v>88</v>
      </c>
      <c r="I110" s="545" t="s">
        <v>0</v>
      </c>
      <c r="J110" s="509" t="s">
        <v>1</v>
      </c>
      <c r="K110" s="509" t="s">
        <v>21</v>
      </c>
      <c r="L110" s="509" t="s">
        <v>22</v>
      </c>
    </row>
    <row r="111" spans="1:12" ht="15" hidden="1" thickBot="1">
      <c r="A111" s="543"/>
      <c r="B111" s="536"/>
      <c r="C111" s="536"/>
      <c r="D111" s="520"/>
      <c r="E111" s="523"/>
      <c r="F111" s="523"/>
      <c r="G111" s="526"/>
      <c r="H111" s="526"/>
      <c r="I111" s="546"/>
      <c r="J111" s="510"/>
      <c r="K111" s="510"/>
      <c r="L111" s="510"/>
    </row>
    <row r="112" spans="1:12" ht="58.5" customHeight="1" hidden="1" thickBot="1">
      <c r="A112" s="510"/>
      <c r="B112" s="544"/>
      <c r="C112" s="544"/>
      <c r="D112" s="521"/>
      <c r="E112" s="524"/>
      <c r="F112" s="524"/>
      <c r="G112" s="527"/>
      <c r="H112" s="527"/>
      <c r="I112" s="547"/>
      <c r="J112" s="33" t="s">
        <v>23</v>
      </c>
      <c r="K112" s="33" t="s">
        <v>24</v>
      </c>
      <c r="L112" s="33"/>
    </row>
    <row r="113" spans="1:12" ht="54.75" customHeight="1" hidden="1" thickBot="1">
      <c r="A113" s="119"/>
      <c r="B113" s="120" t="s">
        <v>232</v>
      </c>
      <c r="C113" s="120" t="s">
        <v>89</v>
      </c>
      <c r="D113" s="121" t="s">
        <v>234</v>
      </c>
      <c r="E113" s="121" t="s">
        <v>124</v>
      </c>
      <c r="F113" s="122" t="s">
        <v>92</v>
      </c>
      <c r="G113" s="123"/>
      <c r="H113" s="124"/>
      <c r="I113" s="125"/>
      <c r="J113" s="126"/>
      <c r="K113" s="126"/>
      <c r="L113" s="126"/>
    </row>
    <row r="114" spans="1:12" ht="15.75" hidden="1" thickBot="1">
      <c r="A114" s="532">
        <v>1</v>
      </c>
      <c r="B114" s="80"/>
      <c r="C114" s="80"/>
      <c r="D114" s="80"/>
      <c r="E114" s="80"/>
      <c r="F114" s="80"/>
      <c r="G114" s="532">
        <v>268</v>
      </c>
      <c r="H114" s="127">
        <v>423</v>
      </c>
      <c r="I114" s="128" t="s">
        <v>7</v>
      </c>
      <c r="J114" s="129">
        <f>SUM(J115:J115)</f>
        <v>37600</v>
      </c>
      <c r="K114" s="129">
        <f>SUM(K115:K115)</f>
        <v>0</v>
      </c>
      <c r="L114" s="129">
        <f>SUM(L115:L115)</f>
        <v>37600</v>
      </c>
    </row>
    <row r="115" spans="1:12" ht="15.75" hidden="1" thickBot="1">
      <c r="A115" s="533"/>
      <c r="B115" s="86"/>
      <c r="C115" s="86"/>
      <c r="D115" s="86"/>
      <c r="E115" s="86"/>
      <c r="F115" s="86"/>
      <c r="G115" s="533"/>
      <c r="H115" s="21">
        <v>4237</v>
      </c>
      <c r="I115" s="22" t="s">
        <v>109</v>
      </c>
      <c r="J115" s="23">
        <v>37600</v>
      </c>
      <c r="K115" s="23"/>
      <c r="L115" s="30">
        <f>SUM(J115+K115)</f>
        <v>37600</v>
      </c>
    </row>
    <row r="116" spans="1:12" ht="15.75" hidden="1" thickBot="1">
      <c r="A116" s="528" t="s">
        <v>235</v>
      </c>
      <c r="B116" s="529"/>
      <c r="C116" s="529"/>
      <c r="D116" s="529"/>
      <c r="E116" s="529"/>
      <c r="F116" s="529"/>
      <c r="G116" s="529"/>
      <c r="H116" s="529"/>
      <c r="I116" s="530"/>
      <c r="J116" s="129">
        <f>+J114</f>
        <v>37600</v>
      </c>
      <c r="K116" s="129">
        <f>+K114</f>
        <v>0</v>
      </c>
      <c r="L116" s="129">
        <f>+L114</f>
        <v>37600</v>
      </c>
    </row>
    <row r="117" spans="1:11" ht="15" hidden="1">
      <c r="A117" s="96"/>
      <c r="B117" s="531" t="s">
        <v>19</v>
      </c>
      <c r="C117" s="531"/>
      <c r="D117" s="531"/>
      <c r="E117" s="531"/>
      <c r="F117" s="531"/>
      <c r="G117" s="531"/>
      <c r="H117" s="96"/>
      <c r="I117" s="96"/>
      <c r="J117" s="96"/>
      <c r="K117" s="96"/>
    </row>
    <row r="118" spans="1:12" ht="15" hidden="1">
      <c r="A118" s="94"/>
      <c r="B118" s="94"/>
      <c r="C118" s="512" t="s">
        <v>119</v>
      </c>
      <c r="D118" s="512"/>
      <c r="E118" s="512"/>
      <c r="F118" s="512"/>
      <c r="G118" s="512"/>
      <c r="H118" s="512"/>
      <c r="I118" s="94"/>
      <c r="J118" s="97">
        <v>37600</v>
      </c>
      <c r="K118" s="97"/>
      <c r="L118" s="437">
        <f>J118</f>
        <v>37600</v>
      </c>
    </row>
    <row r="119" spans="1:11" ht="15" hidden="1">
      <c r="A119" s="94"/>
      <c r="B119" s="94"/>
      <c r="C119" s="222"/>
      <c r="D119" s="222"/>
      <c r="E119" s="222"/>
      <c r="F119" s="222"/>
      <c r="G119" s="222"/>
      <c r="H119" s="222"/>
      <c r="I119" s="94"/>
      <c r="J119" s="97"/>
      <c r="K119" s="97"/>
    </row>
    <row r="120" spans="1:12" ht="15" hidden="1">
      <c r="A120" s="94"/>
      <c r="B120" s="94"/>
      <c r="C120" s="512"/>
      <c r="D120" s="512"/>
      <c r="E120" s="512"/>
      <c r="F120" s="512"/>
      <c r="G120" s="512"/>
      <c r="H120" s="512"/>
      <c r="I120" s="94"/>
      <c r="J120" s="97"/>
      <c r="K120" s="97"/>
      <c r="L120" s="31"/>
    </row>
    <row r="121" spans="1:12" ht="15" hidden="1">
      <c r="A121" s="94"/>
      <c r="B121" s="94"/>
      <c r="C121" s="231"/>
      <c r="D121" s="231"/>
      <c r="E121" s="231"/>
      <c r="F121" s="231"/>
      <c r="G121" s="231"/>
      <c r="H121" s="231"/>
      <c r="I121" s="94"/>
      <c r="J121" s="97"/>
      <c r="K121" s="97"/>
      <c r="L121" s="31"/>
    </row>
    <row r="122" spans="1:12" ht="18.75" customHeight="1" hidden="1">
      <c r="A122" s="268"/>
      <c r="B122" s="94"/>
      <c r="C122" s="231"/>
      <c r="D122" s="231"/>
      <c r="E122" s="231"/>
      <c r="F122" s="231"/>
      <c r="G122" s="231"/>
      <c r="H122" s="231"/>
      <c r="I122" s="94"/>
      <c r="J122" s="97"/>
      <c r="K122" s="97"/>
      <c r="L122" s="269"/>
    </row>
    <row r="123" spans="1:12" ht="15" hidden="1">
      <c r="A123" s="268"/>
      <c r="B123" s="518"/>
      <c r="C123" s="518"/>
      <c r="D123" s="518"/>
      <c r="E123" s="518"/>
      <c r="F123" s="518"/>
      <c r="G123" s="518"/>
      <c r="H123" s="268"/>
      <c r="I123" s="268"/>
      <c r="J123" s="268"/>
      <c r="K123" s="268"/>
      <c r="L123" s="269"/>
    </row>
    <row r="124" spans="1:12" ht="15" hidden="1">
      <c r="A124" s="94"/>
      <c r="B124" s="94"/>
      <c r="C124" s="512"/>
      <c r="D124" s="512"/>
      <c r="E124" s="512"/>
      <c r="F124" s="512"/>
      <c r="G124" s="512"/>
      <c r="H124" s="512"/>
      <c r="I124" s="94"/>
      <c r="J124" s="97"/>
      <c r="K124" s="97"/>
      <c r="L124" s="31"/>
    </row>
    <row r="125" spans="1:12" ht="15.75">
      <c r="A125" s="94"/>
      <c r="B125" s="511" t="s">
        <v>236</v>
      </c>
      <c r="C125" s="512"/>
      <c r="D125" s="512"/>
      <c r="E125" s="512"/>
      <c r="F125" s="512"/>
      <c r="G125" s="512"/>
      <c r="H125" s="512"/>
      <c r="I125" s="196"/>
      <c r="J125" s="97"/>
      <c r="K125" s="97"/>
      <c r="L125" s="31"/>
    </row>
    <row r="126" spans="1:12" ht="15.75">
      <c r="A126" s="94"/>
      <c r="B126" s="513" t="s">
        <v>274</v>
      </c>
      <c r="C126" s="513"/>
      <c r="D126" s="513"/>
      <c r="E126" s="513"/>
      <c r="F126" s="513"/>
      <c r="G126" s="513"/>
      <c r="H126" s="513"/>
      <c r="I126" s="97"/>
      <c r="J126" s="97">
        <f>J76+J106</f>
        <v>37187333</v>
      </c>
      <c r="K126" s="97"/>
      <c r="L126" s="229">
        <f>L72+L106</f>
        <v>37187333</v>
      </c>
    </row>
    <row r="127" spans="1:12" ht="15.75">
      <c r="A127" s="94"/>
      <c r="B127" s="513" t="s">
        <v>152</v>
      </c>
      <c r="C127" s="513"/>
      <c r="D127" s="513"/>
      <c r="E127" s="513"/>
      <c r="F127" s="513"/>
      <c r="G127" s="513"/>
      <c r="H127" s="513"/>
      <c r="I127" s="94"/>
      <c r="J127" s="97"/>
      <c r="K127" s="97">
        <f>K73+K107</f>
        <v>505750</v>
      </c>
      <c r="L127" s="229">
        <f>L73+L107</f>
        <v>505750</v>
      </c>
    </row>
    <row r="128" spans="1:12" ht="15.75">
      <c r="A128" s="94"/>
      <c r="B128" s="234" t="s">
        <v>157</v>
      </c>
      <c r="C128" s="234"/>
      <c r="D128" s="234"/>
      <c r="E128" s="234"/>
      <c r="F128" s="234"/>
      <c r="G128" s="234"/>
      <c r="H128" s="234"/>
      <c r="I128" s="94"/>
      <c r="J128" s="236">
        <v>137000</v>
      </c>
      <c r="K128" s="236">
        <f>K74</f>
        <v>37000</v>
      </c>
      <c r="L128" s="239">
        <f>J128+K128</f>
        <v>174000</v>
      </c>
    </row>
    <row r="129" spans="1:12" ht="16.5" customHeight="1">
      <c r="A129" s="94"/>
      <c r="B129" s="513" t="s">
        <v>219</v>
      </c>
      <c r="C129" s="513"/>
      <c r="D129" s="513"/>
      <c r="E129" s="513"/>
      <c r="F129" s="513"/>
      <c r="G129" s="513"/>
      <c r="H129" s="513"/>
      <c r="I129" s="94"/>
      <c r="J129" s="97"/>
      <c r="K129" s="97">
        <f>K75</f>
        <v>288798</v>
      </c>
      <c r="L129" s="229">
        <f>L75</f>
        <v>288798</v>
      </c>
    </row>
    <row r="130" spans="1:12" ht="18.75" customHeight="1">
      <c r="A130" s="94"/>
      <c r="B130" s="435"/>
      <c r="C130" s="435"/>
      <c r="D130" s="435"/>
      <c r="E130" s="435"/>
      <c r="F130" s="435"/>
      <c r="G130" s="435"/>
      <c r="H130" s="435"/>
      <c r="I130" s="94"/>
      <c r="J130" s="97">
        <f>J126+J128</f>
        <v>37324333</v>
      </c>
      <c r="K130" s="97">
        <f>K127+K128+K129</f>
        <v>831548</v>
      </c>
      <c r="L130" s="229">
        <f>L126+L127+L128+L129</f>
        <v>38155881</v>
      </c>
    </row>
    <row r="131" spans="1:12" ht="18.75" customHeight="1" hidden="1">
      <c r="A131" s="94"/>
      <c r="B131" s="224"/>
      <c r="C131" s="225"/>
      <c r="D131" s="225"/>
      <c r="E131" s="225"/>
      <c r="F131" s="225"/>
      <c r="G131" s="225"/>
      <c r="H131" s="225"/>
      <c r="I131" s="94"/>
      <c r="J131" s="97"/>
      <c r="K131" s="97"/>
      <c r="L131" s="229"/>
    </row>
    <row r="132" spans="2:8" ht="15">
      <c r="B132" s="514" t="s">
        <v>294</v>
      </c>
      <c r="C132" s="515"/>
      <c r="D132" s="515"/>
      <c r="E132" s="515"/>
      <c r="F132" s="515"/>
      <c r="G132" s="515"/>
      <c r="H132" s="515"/>
    </row>
    <row r="133" spans="2:12" ht="15">
      <c r="B133" s="515"/>
      <c r="C133" s="515"/>
      <c r="D133" s="515"/>
      <c r="E133" s="515"/>
      <c r="F133" s="515"/>
      <c r="G133" s="515"/>
      <c r="H133" s="515"/>
      <c r="J133" s="516" t="s">
        <v>244</v>
      </c>
      <c r="K133" s="517"/>
      <c r="L133" s="517"/>
    </row>
    <row r="134" spans="10:12" ht="15">
      <c r="J134" s="517"/>
      <c r="K134" s="517"/>
      <c r="L134" s="517"/>
    </row>
    <row r="135" spans="10:12" ht="32.25" customHeight="1">
      <c r="J135" s="517"/>
      <c r="K135" s="517"/>
      <c r="L135" s="517"/>
    </row>
  </sheetData>
  <sheetProtection/>
  <mergeCells count="107">
    <mergeCell ref="L78:L79"/>
    <mergeCell ref="A9:A11"/>
    <mergeCell ref="A25:A26"/>
    <mergeCell ref="A13:A14"/>
    <mergeCell ref="B13:B14"/>
    <mergeCell ref="A78:A80"/>
    <mergeCell ref="B78:B80"/>
    <mergeCell ref="I9:I11"/>
    <mergeCell ref="J9:J10"/>
    <mergeCell ref="K9:K10"/>
    <mergeCell ref="A48:A50"/>
    <mergeCell ref="B67:B69"/>
    <mergeCell ref="A62:A64"/>
    <mergeCell ref="B9:B11"/>
    <mergeCell ref="A38:A44"/>
    <mergeCell ref="A45:A47"/>
    <mergeCell ref="E67:E69"/>
    <mergeCell ref="F67:F69"/>
    <mergeCell ref="A15:A18"/>
    <mergeCell ref="A19:A22"/>
    <mergeCell ref="K78:K79"/>
    <mergeCell ref="A36:A37"/>
    <mergeCell ref="G36:G37"/>
    <mergeCell ref="D9:D11"/>
    <mergeCell ref="A1:G5"/>
    <mergeCell ref="D78:D80"/>
    <mergeCell ref="E78:E80"/>
    <mergeCell ref="F78:F80"/>
    <mergeCell ref="G78:G80"/>
    <mergeCell ref="H78:H80"/>
    <mergeCell ref="F9:F11"/>
    <mergeCell ref="G9:G11"/>
    <mergeCell ref="H9:H11"/>
    <mergeCell ref="A23:A24"/>
    <mergeCell ref="G45:G47"/>
    <mergeCell ref="A67:A69"/>
    <mergeCell ref="C67:C69"/>
    <mergeCell ref="A34:L35"/>
    <mergeCell ref="G23:G24"/>
    <mergeCell ref="G25:G26"/>
    <mergeCell ref="L9:L10"/>
    <mergeCell ref="G15:G18"/>
    <mergeCell ref="G19:G22"/>
    <mergeCell ref="C13:C14"/>
    <mergeCell ref="D13:D14"/>
    <mergeCell ref="G13:G14"/>
    <mergeCell ref="C9:C11"/>
    <mergeCell ref="I78:I80"/>
    <mergeCell ref="A6:L8"/>
    <mergeCell ref="B71:G71"/>
    <mergeCell ref="C72:H72"/>
    <mergeCell ref="C73:H73"/>
    <mergeCell ref="A65:A66"/>
    <mergeCell ref="G65:G66"/>
    <mergeCell ref="A70:I70"/>
    <mergeCell ref="G62:G64"/>
    <mergeCell ref="G67:G69"/>
    <mergeCell ref="D67:D69"/>
    <mergeCell ref="E9:E11"/>
    <mergeCell ref="A27:A33"/>
    <mergeCell ref="G27:G33"/>
    <mergeCell ref="G48:G50"/>
    <mergeCell ref="A51:A57"/>
    <mergeCell ref="G51:G57"/>
    <mergeCell ref="G38:G44"/>
    <mergeCell ref="A99:A103"/>
    <mergeCell ref="A85:A86"/>
    <mergeCell ref="G99:G103"/>
    <mergeCell ref="A104:I104"/>
    <mergeCell ref="B105:G105"/>
    <mergeCell ref="A114:A115"/>
    <mergeCell ref="A110:A112"/>
    <mergeCell ref="B110:B112"/>
    <mergeCell ref="C106:H106"/>
    <mergeCell ref="H110:H112"/>
    <mergeCell ref="I110:I112"/>
    <mergeCell ref="G114:G115"/>
    <mergeCell ref="C110:C112"/>
    <mergeCell ref="C107:H107"/>
    <mergeCell ref="G82:G84"/>
    <mergeCell ref="A88:A94"/>
    <mergeCell ref="G88:G94"/>
    <mergeCell ref="A95:A98"/>
    <mergeCell ref="G95:G98"/>
    <mergeCell ref="J78:J79"/>
    <mergeCell ref="C78:C80"/>
    <mergeCell ref="A82:A84"/>
    <mergeCell ref="G85:G86"/>
    <mergeCell ref="L110:L111"/>
    <mergeCell ref="B125:H125"/>
    <mergeCell ref="B129:H129"/>
    <mergeCell ref="B127:H127"/>
    <mergeCell ref="B132:H133"/>
    <mergeCell ref="J133:L135"/>
    <mergeCell ref="C120:H120"/>
    <mergeCell ref="B123:G123"/>
    <mergeCell ref="C124:H124"/>
    <mergeCell ref="B126:H126"/>
    <mergeCell ref="K110:K111"/>
    <mergeCell ref="D110:D112"/>
    <mergeCell ref="E110:E112"/>
    <mergeCell ref="F110:F112"/>
    <mergeCell ref="G110:G112"/>
    <mergeCell ref="J110:J111"/>
    <mergeCell ref="A116:I116"/>
    <mergeCell ref="B117:G117"/>
    <mergeCell ref="C118:H118"/>
  </mergeCells>
  <printOptions/>
  <pageMargins left="0.35" right="0.29" top="0.25" bottom="0.16" header="0.26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PageLayoutView="0" workbookViewId="0" topLeftCell="A1">
      <selection activeCell="A9" sqref="A9:L9"/>
    </sheetView>
  </sheetViews>
  <sheetFormatPr defaultColWidth="9.140625" defaultRowHeight="15"/>
  <cols>
    <col min="1" max="3" width="5.57421875" style="0" customWidth="1"/>
    <col min="4" max="4" width="6.28125" style="0" customWidth="1"/>
    <col min="5" max="5" width="11.140625" style="0" customWidth="1"/>
    <col min="6" max="6" width="6.7109375" style="0" customWidth="1"/>
    <col min="7" max="7" width="6.8515625" style="0" customWidth="1"/>
    <col min="8" max="8" width="8.57421875" style="0" customWidth="1"/>
    <col min="9" max="9" width="35.140625" style="0" customWidth="1"/>
    <col min="10" max="10" width="15.00390625" style="0" customWidth="1"/>
    <col min="11" max="11" width="13.421875" style="0" customWidth="1"/>
    <col min="12" max="12" width="14.7109375" style="0" customWidth="1"/>
  </cols>
  <sheetData>
    <row r="1" spans="1:12" ht="15.75">
      <c r="A1" s="511"/>
      <c r="B1" s="511"/>
      <c r="C1" s="511"/>
      <c r="D1" s="511"/>
      <c r="E1" s="511"/>
      <c r="F1" s="511"/>
      <c r="G1" s="512"/>
      <c r="H1" s="512"/>
      <c r="I1" s="512"/>
      <c r="J1" s="512"/>
      <c r="K1" s="512"/>
      <c r="L1" s="512"/>
    </row>
    <row r="2" spans="1:12" ht="15.75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</row>
    <row r="3" spans="1:12" ht="15.75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</row>
    <row r="4" spans="1:12" ht="15.75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1:12" ht="37.5" customHeight="1">
      <c r="A5" s="512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12" ht="27.75" customHeight="1">
      <c r="A6" s="548" t="s">
        <v>297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</row>
    <row r="7" spans="1:12" ht="15" customHeight="1">
      <c r="A7" s="548"/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</row>
    <row r="8" spans="1:12" ht="67.5" customHeight="1" thickBot="1">
      <c r="A8" s="569"/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</row>
    <row r="9" spans="1:12" ht="116.25" customHeight="1" thickBot="1">
      <c r="A9" s="569" t="s">
        <v>173</v>
      </c>
      <c r="B9" s="569"/>
      <c r="C9" s="569"/>
      <c r="D9" s="569"/>
      <c r="E9" s="569"/>
      <c r="F9" s="569"/>
      <c r="G9" s="570"/>
      <c r="H9" s="570"/>
      <c r="I9" s="570"/>
      <c r="J9" s="570"/>
      <c r="K9" s="570"/>
      <c r="L9" s="570"/>
    </row>
    <row r="10" spans="1:12" ht="30.75" customHeight="1" hidden="1" thickBot="1">
      <c r="A10" s="207"/>
      <c r="B10" s="207"/>
      <c r="C10" s="207"/>
      <c r="D10" s="207"/>
      <c r="E10" s="207"/>
      <c r="F10" s="207"/>
      <c r="G10" s="208"/>
      <c r="H10" s="208"/>
      <c r="I10" s="208"/>
      <c r="J10" s="208"/>
      <c r="K10" s="208"/>
      <c r="L10" s="208"/>
    </row>
    <row r="11" spans="1:12" ht="15.75" customHeight="1">
      <c r="A11" s="509" t="s">
        <v>20</v>
      </c>
      <c r="B11" s="535" t="s">
        <v>85</v>
      </c>
      <c r="C11" s="535" t="s">
        <v>86</v>
      </c>
      <c r="D11" s="519" t="s">
        <v>96</v>
      </c>
      <c r="E11" s="522" t="s">
        <v>97</v>
      </c>
      <c r="F11" s="522" t="s">
        <v>91</v>
      </c>
      <c r="G11" s="525" t="s">
        <v>87</v>
      </c>
      <c r="H11" s="525" t="s">
        <v>88</v>
      </c>
      <c r="I11" s="545" t="s">
        <v>0</v>
      </c>
      <c r="J11" s="509" t="s">
        <v>131</v>
      </c>
      <c r="K11" s="509" t="s">
        <v>275</v>
      </c>
      <c r="L11" s="509" t="s">
        <v>22</v>
      </c>
    </row>
    <row r="12" spans="1:12" ht="28.5" customHeight="1" thickBot="1">
      <c r="A12" s="543"/>
      <c r="B12" s="536"/>
      <c r="C12" s="536"/>
      <c r="D12" s="520"/>
      <c r="E12" s="523"/>
      <c r="F12" s="523"/>
      <c r="G12" s="526"/>
      <c r="H12" s="526"/>
      <c r="I12" s="546"/>
      <c r="J12" s="510"/>
      <c r="K12" s="510"/>
      <c r="L12" s="510"/>
    </row>
    <row r="13" spans="1:12" ht="45" customHeight="1" thickBot="1">
      <c r="A13" s="510"/>
      <c r="B13" s="544"/>
      <c r="C13" s="544"/>
      <c r="D13" s="521"/>
      <c r="E13" s="524"/>
      <c r="F13" s="524"/>
      <c r="G13" s="527"/>
      <c r="H13" s="527"/>
      <c r="I13" s="547"/>
      <c r="J13" s="33" t="s">
        <v>23</v>
      </c>
      <c r="K13" s="33" t="s">
        <v>276</v>
      </c>
      <c r="L13" s="33"/>
    </row>
    <row r="14" spans="1:12" ht="66" customHeight="1" thickBot="1">
      <c r="A14" s="35"/>
      <c r="B14" s="66" t="s">
        <v>232</v>
      </c>
      <c r="C14" s="66" t="s">
        <v>89</v>
      </c>
      <c r="D14" s="68" t="s">
        <v>90</v>
      </c>
      <c r="E14" s="68" t="s">
        <v>95</v>
      </c>
      <c r="F14" s="75" t="s">
        <v>92</v>
      </c>
      <c r="G14" s="63"/>
      <c r="H14" s="64"/>
      <c r="I14" s="65"/>
      <c r="J14" s="33"/>
      <c r="K14" s="33"/>
      <c r="L14" s="33"/>
    </row>
    <row r="15" spans="1:15" ht="16.5" thickBot="1">
      <c r="A15" s="532">
        <v>1</v>
      </c>
      <c r="B15" s="532"/>
      <c r="C15" s="532"/>
      <c r="D15" s="532"/>
      <c r="E15" s="36"/>
      <c r="F15" s="36"/>
      <c r="G15" s="532">
        <v>221</v>
      </c>
      <c r="H15" s="13">
        <v>411</v>
      </c>
      <c r="I15" s="14" t="s">
        <v>2</v>
      </c>
      <c r="J15" s="15">
        <f>J16+J17</f>
        <v>10832519</v>
      </c>
      <c r="K15" s="15">
        <f>K16</f>
        <v>0</v>
      </c>
      <c r="L15" s="15">
        <f>SUM(J15+K15)</f>
        <v>10832519</v>
      </c>
      <c r="O15" s="34"/>
    </row>
    <row r="16" spans="1:12" ht="31.5">
      <c r="A16" s="533"/>
      <c r="B16" s="533"/>
      <c r="C16" s="533"/>
      <c r="D16" s="533"/>
      <c r="E16" s="482"/>
      <c r="F16" s="482"/>
      <c r="G16" s="533"/>
      <c r="H16" s="17">
        <v>411111</v>
      </c>
      <c r="I16" s="10" t="s">
        <v>3</v>
      </c>
      <c r="J16" s="11">
        <f>9938691+70217</f>
        <v>10008908</v>
      </c>
      <c r="K16" s="486"/>
      <c r="L16" s="281">
        <f>SUM(J16+K16)</f>
        <v>10008908</v>
      </c>
    </row>
    <row r="17" spans="1:12" ht="32.25" thickBot="1">
      <c r="A17" s="485"/>
      <c r="B17" s="485"/>
      <c r="C17" s="485"/>
      <c r="D17" s="485"/>
      <c r="E17" s="485"/>
      <c r="F17" s="485"/>
      <c r="G17" s="485"/>
      <c r="H17" s="6">
        <v>411112</v>
      </c>
      <c r="I17" s="265" t="s">
        <v>3</v>
      </c>
      <c r="J17" s="264">
        <v>823611</v>
      </c>
      <c r="K17" s="12"/>
      <c r="L17" s="8">
        <f>SUM(J17+K17)</f>
        <v>823611</v>
      </c>
    </row>
    <row r="18" spans="1:12" ht="32.25" thickBot="1">
      <c r="A18" s="532">
        <v>2</v>
      </c>
      <c r="B18" s="36"/>
      <c r="C18" s="36"/>
      <c r="D18" s="36"/>
      <c r="E18" s="36"/>
      <c r="F18" s="36"/>
      <c r="G18" s="532">
        <v>222</v>
      </c>
      <c r="H18" s="13">
        <v>412</v>
      </c>
      <c r="I18" s="14" t="s">
        <v>28</v>
      </c>
      <c r="J18" s="15">
        <f>SUM(J19+J20+J21)</f>
        <v>1856235</v>
      </c>
      <c r="K18" s="15">
        <f>SUM(K19+K20+K21)</f>
        <v>0</v>
      </c>
      <c r="L18" s="15">
        <f>SUM(J18+K18)</f>
        <v>1856235</v>
      </c>
    </row>
    <row r="19" spans="1:12" ht="15.75">
      <c r="A19" s="533"/>
      <c r="B19" s="42"/>
      <c r="C19" s="42"/>
      <c r="D19" s="42"/>
      <c r="E19" s="42"/>
      <c r="F19" s="42"/>
      <c r="G19" s="533"/>
      <c r="H19" s="17">
        <v>412111</v>
      </c>
      <c r="I19" s="18" t="s">
        <v>29</v>
      </c>
      <c r="J19" s="19">
        <f>1291477+6000</f>
        <v>1297477</v>
      </c>
      <c r="K19" s="280"/>
      <c r="L19" s="281">
        <f aca="true" t="shared" si="0" ref="L19:L107">SUM(J19+K19)</f>
        <v>1297477</v>
      </c>
    </row>
    <row r="20" spans="1:12" ht="15.75">
      <c r="A20" s="533"/>
      <c r="B20" s="42"/>
      <c r="C20" s="42"/>
      <c r="D20" s="42"/>
      <c r="E20" s="42"/>
      <c r="F20" s="42"/>
      <c r="G20" s="533"/>
      <c r="H20" s="21">
        <v>412211</v>
      </c>
      <c r="I20" s="22" t="s">
        <v>30</v>
      </c>
      <c r="J20" s="23">
        <f>554258+4500</f>
        <v>558758</v>
      </c>
      <c r="K20" s="24"/>
      <c r="L20" s="100">
        <f t="shared" si="0"/>
        <v>558758</v>
      </c>
    </row>
    <row r="21" spans="1:12" ht="16.5" thickBot="1">
      <c r="A21" s="534"/>
      <c r="B21" s="37"/>
      <c r="C21" s="37"/>
      <c r="D21" s="37"/>
      <c r="E21" s="37"/>
      <c r="F21" s="37"/>
      <c r="G21" s="534"/>
      <c r="H21" s="6">
        <v>412311</v>
      </c>
      <c r="I21" s="7" t="s">
        <v>31</v>
      </c>
      <c r="J21" s="8">
        <f>80717-80717</f>
        <v>0</v>
      </c>
      <c r="K21" s="282"/>
      <c r="L21" s="264">
        <f t="shared" si="0"/>
        <v>0</v>
      </c>
    </row>
    <row r="22" spans="1:12" ht="16.5" customHeight="1" thickBot="1">
      <c r="A22" s="532">
        <v>3</v>
      </c>
      <c r="B22" s="36"/>
      <c r="C22" s="36"/>
      <c r="D22" s="36"/>
      <c r="E22" s="36"/>
      <c r="F22" s="36"/>
      <c r="G22" s="532">
        <v>223</v>
      </c>
      <c r="H22" s="13">
        <v>414</v>
      </c>
      <c r="I22" s="14" t="s">
        <v>27</v>
      </c>
      <c r="J22" s="198">
        <f>SUM(J23:J26)</f>
        <v>160000</v>
      </c>
      <c r="K22" s="15">
        <f>SUM(K23:K26)</f>
        <v>37000</v>
      </c>
      <c r="L22" s="15">
        <f>SUM(J22+K22)</f>
        <v>197000</v>
      </c>
    </row>
    <row r="23" spans="1:12" ht="16.5" customHeight="1">
      <c r="A23" s="533"/>
      <c r="B23" s="270"/>
      <c r="C23" s="270"/>
      <c r="D23" s="270"/>
      <c r="E23" s="270"/>
      <c r="F23" s="270"/>
      <c r="G23" s="533"/>
      <c r="H23" s="275">
        <v>414111</v>
      </c>
      <c r="I23" s="283" t="s">
        <v>168</v>
      </c>
      <c r="J23" s="281"/>
      <c r="K23" s="289">
        <v>1000</v>
      </c>
      <c r="L23" s="281">
        <f>SUM(J23+K23)</f>
        <v>1000</v>
      </c>
    </row>
    <row r="24" spans="1:12" ht="16.5" customHeight="1">
      <c r="A24" s="533"/>
      <c r="B24" s="181"/>
      <c r="C24" s="181"/>
      <c r="D24" s="181"/>
      <c r="E24" s="181"/>
      <c r="F24" s="181"/>
      <c r="G24" s="533"/>
      <c r="H24" s="276">
        <v>414121</v>
      </c>
      <c r="I24" s="284" t="s">
        <v>153</v>
      </c>
      <c r="J24" s="288"/>
      <c r="K24" s="288">
        <v>36000</v>
      </c>
      <c r="L24" s="230">
        <f>SUM(J24+K24)</f>
        <v>36000</v>
      </c>
    </row>
    <row r="25" spans="1:12" ht="46.5" customHeight="1">
      <c r="A25" s="533"/>
      <c r="B25" s="42"/>
      <c r="C25" s="42"/>
      <c r="D25" s="42"/>
      <c r="E25" s="42"/>
      <c r="F25" s="42"/>
      <c r="G25" s="533"/>
      <c r="H25" s="277">
        <v>414314</v>
      </c>
      <c r="I25" s="285" t="s">
        <v>44</v>
      </c>
      <c r="J25" s="287">
        <v>60000</v>
      </c>
      <c r="K25" s="290"/>
      <c r="L25" s="230">
        <f t="shared" si="0"/>
        <v>60000</v>
      </c>
    </row>
    <row r="26" spans="1:12" ht="47.25" customHeight="1" thickBot="1">
      <c r="A26" s="534"/>
      <c r="B26" s="42"/>
      <c r="C26" s="42"/>
      <c r="D26" s="42"/>
      <c r="E26" s="42"/>
      <c r="F26" s="42"/>
      <c r="G26" s="533"/>
      <c r="H26" s="279">
        <v>414411</v>
      </c>
      <c r="I26" s="278" t="s">
        <v>43</v>
      </c>
      <c r="J26" s="286">
        <v>100000</v>
      </c>
      <c r="K26" s="291" t="s">
        <v>154</v>
      </c>
      <c r="L26" s="264">
        <v>40000</v>
      </c>
    </row>
    <row r="27" spans="1:12" ht="17.25" customHeight="1" thickBot="1">
      <c r="A27" s="545">
        <v>4</v>
      </c>
      <c r="B27" s="38"/>
      <c r="C27" s="38"/>
      <c r="D27" s="38"/>
      <c r="E27" s="38"/>
      <c r="F27" s="38"/>
      <c r="G27" s="545">
        <v>224</v>
      </c>
      <c r="H27" s="13">
        <v>415</v>
      </c>
      <c r="I27" s="14" t="s">
        <v>4</v>
      </c>
      <c r="J27" s="15">
        <f>J28</f>
        <v>220000</v>
      </c>
      <c r="K27" s="15">
        <f>K28</f>
        <v>0</v>
      </c>
      <c r="L27" s="15">
        <f>SUM(J27+K27)</f>
        <v>220000</v>
      </c>
    </row>
    <row r="28" spans="1:12" ht="49.5" customHeight="1" thickBot="1">
      <c r="A28" s="547"/>
      <c r="B28" s="39"/>
      <c r="C28" s="39"/>
      <c r="D28" s="39"/>
      <c r="E28" s="39"/>
      <c r="F28" s="39"/>
      <c r="G28" s="547"/>
      <c r="H28" s="2">
        <v>415112</v>
      </c>
      <c r="I28" s="491" t="s">
        <v>252</v>
      </c>
      <c r="J28" s="51">
        <v>220000</v>
      </c>
      <c r="K28" s="32"/>
      <c r="L28" s="30">
        <f t="shared" si="0"/>
        <v>220000</v>
      </c>
    </row>
    <row r="29" spans="1:12" ht="32.25" thickBot="1">
      <c r="A29" s="557">
        <v>5</v>
      </c>
      <c r="B29" s="40"/>
      <c r="C29" s="40"/>
      <c r="D29" s="40"/>
      <c r="E29" s="40"/>
      <c r="F29" s="40"/>
      <c r="G29" s="557">
        <v>225</v>
      </c>
      <c r="H29" s="13">
        <v>416</v>
      </c>
      <c r="I29" s="14" t="s">
        <v>26</v>
      </c>
      <c r="J29" s="15">
        <f>J30</f>
        <v>250000</v>
      </c>
      <c r="K29" s="15">
        <f>K30</f>
        <v>0</v>
      </c>
      <c r="L29" s="15">
        <f>SUM(J29+K29)</f>
        <v>250000</v>
      </c>
    </row>
    <row r="30" spans="1:12" ht="18.75" customHeight="1" thickBot="1">
      <c r="A30" s="566"/>
      <c r="B30" s="41"/>
      <c r="C30" s="41"/>
      <c r="D30" s="41"/>
      <c r="E30" s="41"/>
      <c r="F30" s="41"/>
      <c r="G30" s="566"/>
      <c r="H30" s="3">
        <v>416111</v>
      </c>
      <c r="I30" s="267" t="s">
        <v>169</v>
      </c>
      <c r="J30" s="52">
        <v>250000</v>
      </c>
      <c r="K30" s="12"/>
      <c r="L30" s="30">
        <f t="shared" si="0"/>
        <v>250000</v>
      </c>
    </row>
    <row r="31" spans="1:12" ht="16.5" thickBot="1">
      <c r="A31" s="532">
        <v>6</v>
      </c>
      <c r="B31" s="36"/>
      <c r="C31" s="36"/>
      <c r="D31" s="36"/>
      <c r="E31" s="36"/>
      <c r="F31" s="36"/>
      <c r="G31" s="532">
        <v>226</v>
      </c>
      <c r="H31" s="69">
        <v>421</v>
      </c>
      <c r="I31" s="14" t="s">
        <v>5</v>
      </c>
      <c r="J31" s="15">
        <f>SUM(J32:J49)</f>
        <v>2283300</v>
      </c>
      <c r="K31" s="15">
        <f>SUM(K32:K49)</f>
        <v>7000</v>
      </c>
      <c r="L31" s="15">
        <f>SUM(L32:L49)</f>
        <v>2290300</v>
      </c>
    </row>
    <row r="32" spans="1:12" ht="63">
      <c r="A32" s="533"/>
      <c r="B32" s="42"/>
      <c r="C32" s="42"/>
      <c r="D32" s="42"/>
      <c r="E32" s="42"/>
      <c r="F32" s="42"/>
      <c r="G32" s="533"/>
      <c r="H32" s="70">
        <v>421111</v>
      </c>
      <c r="I32" s="18" t="s">
        <v>45</v>
      </c>
      <c r="J32" s="19">
        <v>70000</v>
      </c>
      <c r="K32" s="25">
        <v>7000</v>
      </c>
      <c r="L32" s="281">
        <f t="shared" si="0"/>
        <v>77000</v>
      </c>
    </row>
    <row r="33" spans="1:12" ht="63">
      <c r="A33" s="533"/>
      <c r="B33" s="42"/>
      <c r="C33" s="42"/>
      <c r="D33" s="42"/>
      <c r="E33" s="42"/>
      <c r="F33" s="42"/>
      <c r="G33" s="533"/>
      <c r="H33" s="71">
        <v>421211</v>
      </c>
      <c r="I33" s="22" t="s">
        <v>46</v>
      </c>
      <c r="J33" s="23">
        <v>500000</v>
      </c>
      <c r="K33" s="26"/>
      <c r="L33" s="11">
        <f t="shared" si="0"/>
        <v>500000</v>
      </c>
    </row>
    <row r="34" spans="1:12" ht="49.5" customHeight="1">
      <c r="A34" s="533"/>
      <c r="B34" s="42"/>
      <c r="C34" s="42"/>
      <c r="D34" s="42"/>
      <c r="E34" s="42"/>
      <c r="F34" s="42"/>
      <c r="G34" s="533"/>
      <c r="H34" s="71">
        <v>421225</v>
      </c>
      <c r="I34" s="22" t="s">
        <v>47</v>
      </c>
      <c r="J34" s="23">
        <v>980000</v>
      </c>
      <c r="K34" s="26"/>
      <c r="L34" s="230">
        <f t="shared" si="0"/>
        <v>980000</v>
      </c>
    </row>
    <row r="35" spans="1:12" ht="63">
      <c r="A35" s="533"/>
      <c r="B35" s="42"/>
      <c r="C35" s="42"/>
      <c r="D35" s="42"/>
      <c r="E35" s="42"/>
      <c r="F35" s="42"/>
      <c r="G35" s="533"/>
      <c r="H35" s="71">
        <v>421311</v>
      </c>
      <c r="I35" s="22" t="s">
        <v>48</v>
      </c>
      <c r="J35" s="23">
        <v>17000</v>
      </c>
      <c r="K35" s="26"/>
      <c r="L35" s="230">
        <f t="shared" si="0"/>
        <v>17000</v>
      </c>
    </row>
    <row r="36" spans="1:12" ht="15.75">
      <c r="A36" s="533"/>
      <c r="B36" s="482"/>
      <c r="C36" s="482"/>
      <c r="D36" s="482"/>
      <c r="E36" s="482"/>
      <c r="F36" s="482"/>
      <c r="G36" s="533"/>
      <c r="H36" s="71">
        <v>421321</v>
      </c>
      <c r="I36" s="22" t="s">
        <v>245</v>
      </c>
      <c r="J36" s="23">
        <f>35000-12000</f>
        <v>23000</v>
      </c>
      <c r="K36" s="26"/>
      <c r="L36" s="230">
        <f t="shared" si="0"/>
        <v>23000</v>
      </c>
    </row>
    <row r="37" spans="1:12" ht="47.25">
      <c r="A37" s="533"/>
      <c r="B37" s="42"/>
      <c r="C37" s="42"/>
      <c r="D37" s="42"/>
      <c r="E37" s="42"/>
      <c r="F37" s="42"/>
      <c r="G37" s="533"/>
      <c r="H37" s="71">
        <v>421324</v>
      </c>
      <c r="I37" s="22" t="s">
        <v>49</v>
      </c>
      <c r="J37" s="23">
        <v>14000</v>
      </c>
      <c r="K37" s="26"/>
      <c r="L37" s="230">
        <f t="shared" si="0"/>
        <v>14000</v>
      </c>
    </row>
    <row r="38" spans="1:12" ht="31.5">
      <c r="A38" s="533"/>
      <c r="B38" s="42"/>
      <c r="C38" s="42"/>
      <c r="D38" s="42"/>
      <c r="E38" s="42"/>
      <c r="F38" s="42"/>
      <c r="G38" s="533"/>
      <c r="H38" s="71">
        <v>421411</v>
      </c>
      <c r="I38" s="22" t="s">
        <v>50</v>
      </c>
      <c r="J38" s="23">
        <v>61000</v>
      </c>
      <c r="K38" s="27"/>
      <c r="L38" s="11">
        <f t="shared" si="0"/>
        <v>61000</v>
      </c>
    </row>
    <row r="39" spans="1:12" ht="47.25">
      <c r="A39" s="533"/>
      <c r="B39" s="42"/>
      <c r="C39" s="42"/>
      <c r="D39" s="42"/>
      <c r="E39" s="42"/>
      <c r="F39" s="42"/>
      <c r="G39" s="533"/>
      <c r="H39" s="71">
        <v>421412</v>
      </c>
      <c r="I39" s="22" t="s">
        <v>51</v>
      </c>
      <c r="J39" s="23">
        <v>41000</v>
      </c>
      <c r="K39" s="27"/>
      <c r="L39" s="298">
        <f t="shared" si="0"/>
        <v>41000</v>
      </c>
    </row>
    <row r="40" spans="1:12" ht="15.75">
      <c r="A40" s="533"/>
      <c r="B40" s="42"/>
      <c r="C40" s="42"/>
      <c r="D40" s="42"/>
      <c r="E40" s="42"/>
      <c r="F40" s="42"/>
      <c r="G40" s="533"/>
      <c r="H40" s="71">
        <v>421414</v>
      </c>
      <c r="I40" s="22" t="s">
        <v>40</v>
      </c>
      <c r="J40" s="23">
        <v>149000</v>
      </c>
      <c r="K40" s="27"/>
      <c r="L40" s="230">
        <f t="shared" si="0"/>
        <v>149000</v>
      </c>
    </row>
    <row r="41" spans="1:12" ht="15.75">
      <c r="A41" s="533"/>
      <c r="B41" s="42"/>
      <c r="C41" s="42"/>
      <c r="D41" s="42"/>
      <c r="E41" s="42"/>
      <c r="F41" s="42"/>
      <c r="G41" s="533"/>
      <c r="H41" s="71">
        <v>421421</v>
      </c>
      <c r="I41" s="22" t="s">
        <v>41</v>
      </c>
      <c r="J41" s="23">
        <v>10300</v>
      </c>
      <c r="K41" s="27"/>
      <c r="L41" s="230">
        <f t="shared" si="0"/>
        <v>10300</v>
      </c>
    </row>
    <row r="42" spans="1:12" ht="15.75">
      <c r="A42" s="533"/>
      <c r="B42" s="44"/>
      <c r="C42" s="44"/>
      <c r="D42" s="44"/>
      <c r="E42" s="44"/>
      <c r="F42" s="44"/>
      <c r="G42" s="533"/>
      <c r="H42" s="21">
        <v>421422</v>
      </c>
      <c r="I42" s="55" t="s">
        <v>35</v>
      </c>
      <c r="J42" s="294">
        <v>30000</v>
      </c>
      <c r="K42" s="295"/>
      <c r="L42" s="299">
        <f t="shared" si="0"/>
        <v>30000</v>
      </c>
    </row>
    <row r="43" spans="1:12" ht="47.25">
      <c r="A43" s="533"/>
      <c r="B43" s="44"/>
      <c r="C43" s="44"/>
      <c r="D43" s="44"/>
      <c r="E43" s="44"/>
      <c r="F43" s="44"/>
      <c r="G43" s="533"/>
      <c r="H43" s="292">
        <v>421511</v>
      </c>
      <c r="I43" s="293" t="s">
        <v>52</v>
      </c>
      <c r="J43" s="294">
        <v>71000</v>
      </c>
      <c r="K43" s="295"/>
      <c r="L43" s="298">
        <f t="shared" si="0"/>
        <v>71000</v>
      </c>
    </row>
    <row r="44" spans="1:12" ht="63">
      <c r="A44" s="533"/>
      <c r="B44" s="44"/>
      <c r="C44" s="44"/>
      <c r="D44" s="44"/>
      <c r="E44" s="44"/>
      <c r="F44" s="44"/>
      <c r="G44" s="533"/>
      <c r="H44" s="292">
        <v>421512</v>
      </c>
      <c r="I44" s="293" t="s">
        <v>253</v>
      </c>
      <c r="J44" s="294">
        <v>68000</v>
      </c>
      <c r="K44" s="295"/>
      <c r="L44" s="298">
        <f t="shared" si="0"/>
        <v>68000</v>
      </c>
    </row>
    <row r="45" spans="1:12" ht="31.5">
      <c r="A45" s="533"/>
      <c r="B45" s="44"/>
      <c r="C45" s="44"/>
      <c r="D45" s="44"/>
      <c r="E45" s="44"/>
      <c r="F45" s="44"/>
      <c r="G45" s="533"/>
      <c r="H45" s="292">
        <v>421513</v>
      </c>
      <c r="I45" s="293" t="s">
        <v>53</v>
      </c>
      <c r="J45" s="294">
        <v>190000</v>
      </c>
      <c r="K45" s="296"/>
      <c r="L45" s="298">
        <f t="shared" si="0"/>
        <v>190000</v>
      </c>
    </row>
    <row r="46" spans="1:12" ht="31.5">
      <c r="A46" s="533"/>
      <c r="B46" s="44"/>
      <c r="C46" s="44"/>
      <c r="D46" s="44"/>
      <c r="E46" s="44"/>
      <c r="F46" s="44"/>
      <c r="G46" s="533"/>
      <c r="H46" s="292">
        <v>421521</v>
      </c>
      <c r="I46" s="293" t="s">
        <v>54</v>
      </c>
      <c r="J46" s="294">
        <v>28000</v>
      </c>
      <c r="K46" s="297"/>
      <c r="L46" s="230">
        <f t="shared" si="0"/>
        <v>28000</v>
      </c>
    </row>
    <row r="47" spans="1:12" ht="20.25" customHeight="1">
      <c r="A47" s="533"/>
      <c r="B47" s="44"/>
      <c r="C47" s="44"/>
      <c r="D47" s="44"/>
      <c r="E47" s="44"/>
      <c r="F47" s="44"/>
      <c r="G47" s="533"/>
      <c r="H47" s="292">
        <v>421522</v>
      </c>
      <c r="I47" s="293" t="s">
        <v>55</v>
      </c>
      <c r="J47" s="294">
        <v>28000</v>
      </c>
      <c r="K47" s="296"/>
      <c r="L47" s="230">
        <f t="shared" si="0"/>
        <v>28000</v>
      </c>
    </row>
    <row r="48" spans="1:12" ht="49.5" customHeight="1" hidden="1">
      <c r="A48" s="533"/>
      <c r="B48" s="44"/>
      <c r="C48" s="44"/>
      <c r="D48" s="44"/>
      <c r="E48" s="44"/>
      <c r="F48" s="44"/>
      <c r="G48" s="533"/>
      <c r="H48" s="292">
        <v>421523</v>
      </c>
      <c r="I48" s="293" t="s">
        <v>56</v>
      </c>
      <c r="J48" s="294">
        <v>0</v>
      </c>
      <c r="K48" s="295"/>
      <c r="L48" s="230">
        <f t="shared" si="0"/>
        <v>0</v>
      </c>
    </row>
    <row r="49" spans="1:12" ht="15.75" customHeight="1" thickBot="1">
      <c r="A49" s="533"/>
      <c r="B49" s="248"/>
      <c r="C49" s="248"/>
      <c r="D49" s="248"/>
      <c r="E49" s="248"/>
      <c r="F49" s="248"/>
      <c r="G49" s="533"/>
      <c r="H49" s="292">
        <v>421911</v>
      </c>
      <c r="I49" s="293" t="s">
        <v>159</v>
      </c>
      <c r="J49" s="294">
        <f>2000+1000</f>
        <v>3000</v>
      </c>
      <c r="K49" s="295"/>
      <c r="L49" s="230">
        <f t="shared" si="0"/>
        <v>3000</v>
      </c>
    </row>
    <row r="50" spans="1:12" ht="16.5" thickBot="1">
      <c r="A50" s="532">
        <v>7</v>
      </c>
      <c r="B50" s="36"/>
      <c r="C50" s="36"/>
      <c r="D50" s="36"/>
      <c r="E50" s="36"/>
      <c r="F50" s="36"/>
      <c r="G50" s="532">
        <v>227</v>
      </c>
      <c r="H50" s="69">
        <v>422</v>
      </c>
      <c r="I50" s="14" t="s">
        <v>208</v>
      </c>
      <c r="J50" s="15">
        <f>SUM(J51:J53)</f>
        <v>60000</v>
      </c>
      <c r="K50" s="15">
        <f>SUM(K51:K53)</f>
        <v>0</v>
      </c>
      <c r="L50" s="15">
        <f>SUM(L51:L53)</f>
        <v>60000</v>
      </c>
    </row>
    <row r="51" spans="1:12" ht="78.75">
      <c r="A51" s="533"/>
      <c r="B51" s="42"/>
      <c r="C51" s="42"/>
      <c r="D51" s="42"/>
      <c r="E51" s="42"/>
      <c r="F51" s="42"/>
      <c r="G51" s="533"/>
      <c r="H51" s="70">
        <v>422111</v>
      </c>
      <c r="I51" s="57" t="s">
        <v>57</v>
      </c>
      <c r="J51" s="19">
        <v>30000</v>
      </c>
      <c r="K51" s="25"/>
      <c r="L51" s="281">
        <f t="shared" si="0"/>
        <v>30000</v>
      </c>
    </row>
    <row r="52" spans="1:12" ht="78.75">
      <c r="A52" s="533"/>
      <c r="B52" s="44"/>
      <c r="C52" s="44"/>
      <c r="D52" s="44"/>
      <c r="E52" s="44"/>
      <c r="F52" s="44"/>
      <c r="G52" s="533"/>
      <c r="H52" s="292">
        <v>422121</v>
      </c>
      <c r="I52" s="305" t="s">
        <v>58</v>
      </c>
      <c r="J52" s="206">
        <v>20000</v>
      </c>
      <c r="K52" s="295"/>
      <c r="L52" s="230">
        <f t="shared" si="0"/>
        <v>20000</v>
      </c>
    </row>
    <row r="53" spans="1:12" ht="79.5" thickBot="1">
      <c r="A53" s="534"/>
      <c r="B53" s="42"/>
      <c r="C53" s="42"/>
      <c r="D53" s="42"/>
      <c r="E53" s="42"/>
      <c r="F53" s="42"/>
      <c r="G53" s="534"/>
      <c r="H53" s="9">
        <v>422199</v>
      </c>
      <c r="I53" s="265" t="s">
        <v>59</v>
      </c>
      <c r="J53" s="264">
        <v>10000</v>
      </c>
      <c r="K53" s="263"/>
      <c r="L53" s="264">
        <f t="shared" si="0"/>
        <v>10000</v>
      </c>
    </row>
    <row r="54" spans="1:12" ht="15.75" customHeight="1" thickBot="1">
      <c r="A54" s="532">
        <v>8</v>
      </c>
      <c r="B54" s="36"/>
      <c r="C54" s="36"/>
      <c r="D54" s="36"/>
      <c r="E54" s="36"/>
      <c r="F54" s="36"/>
      <c r="G54" s="532">
        <v>228</v>
      </c>
      <c r="H54" s="13">
        <v>423</v>
      </c>
      <c r="I54" s="14" t="s">
        <v>7</v>
      </c>
      <c r="J54" s="15">
        <f>SUM(J55:J65)</f>
        <v>747000</v>
      </c>
      <c r="K54" s="15">
        <f>SUM(K55:K65)</f>
        <v>0</v>
      </c>
      <c r="L54" s="15">
        <f>SUM(L55:L65)</f>
        <v>747000</v>
      </c>
    </row>
    <row r="55" spans="1:12" ht="15" customHeight="1">
      <c r="A55" s="533"/>
      <c r="B55" s="42"/>
      <c r="C55" s="42"/>
      <c r="D55" s="42"/>
      <c r="E55" s="42"/>
      <c r="F55" s="42"/>
      <c r="G55" s="533"/>
      <c r="H55" s="17">
        <v>423221</v>
      </c>
      <c r="I55" s="18" t="s">
        <v>33</v>
      </c>
      <c r="J55" s="19">
        <v>50000</v>
      </c>
      <c r="K55" s="19"/>
      <c r="L55" s="58">
        <f t="shared" si="0"/>
        <v>50000</v>
      </c>
    </row>
    <row r="56" spans="1:12" ht="15" customHeight="1">
      <c r="A56" s="533"/>
      <c r="B56" s="42"/>
      <c r="C56" s="42"/>
      <c r="D56" s="42"/>
      <c r="E56" s="42"/>
      <c r="F56" s="42"/>
      <c r="G56" s="533"/>
      <c r="H56" s="21">
        <v>423291</v>
      </c>
      <c r="I56" s="22" t="s">
        <v>42</v>
      </c>
      <c r="J56" s="23">
        <v>50000</v>
      </c>
      <c r="K56" s="23"/>
      <c r="L56" s="230">
        <f t="shared" si="0"/>
        <v>50000</v>
      </c>
    </row>
    <row r="57" spans="1:12" ht="126.75" customHeight="1">
      <c r="A57" s="533"/>
      <c r="B57" s="42"/>
      <c r="C57" s="42"/>
      <c r="D57" s="42"/>
      <c r="E57" s="42"/>
      <c r="F57" s="42"/>
      <c r="G57" s="533"/>
      <c r="H57" s="21">
        <v>423321</v>
      </c>
      <c r="I57" s="22" t="s">
        <v>60</v>
      </c>
      <c r="J57" s="23">
        <v>50000</v>
      </c>
      <c r="K57" s="23"/>
      <c r="L57" s="11">
        <f t="shared" si="0"/>
        <v>50000</v>
      </c>
    </row>
    <row r="58" spans="1:12" ht="63.75" customHeight="1">
      <c r="A58" s="533"/>
      <c r="B58" s="42"/>
      <c r="C58" s="42"/>
      <c r="D58" s="42"/>
      <c r="E58" s="42"/>
      <c r="F58" s="42"/>
      <c r="G58" s="533"/>
      <c r="H58" s="21">
        <v>423419</v>
      </c>
      <c r="I58" s="22" t="s">
        <v>61</v>
      </c>
      <c r="J58" s="23">
        <v>120000</v>
      </c>
      <c r="K58" s="23"/>
      <c r="L58" s="230">
        <f t="shared" si="0"/>
        <v>120000</v>
      </c>
    </row>
    <row r="59" spans="1:12" ht="36.75" customHeight="1" hidden="1">
      <c r="A59" s="533"/>
      <c r="B59" s="270"/>
      <c r="C59" s="270"/>
      <c r="D59" s="270"/>
      <c r="E59" s="270"/>
      <c r="F59" s="270"/>
      <c r="G59" s="533"/>
      <c r="H59" s="21">
        <v>423441</v>
      </c>
      <c r="I59" s="22" t="s">
        <v>170</v>
      </c>
      <c r="J59" s="23">
        <v>0</v>
      </c>
      <c r="K59" s="23"/>
      <c r="L59" s="11">
        <f t="shared" si="0"/>
        <v>0</v>
      </c>
    </row>
    <row r="60" spans="1:12" ht="33.75" customHeight="1" hidden="1">
      <c r="A60" s="533"/>
      <c r="B60" s="42"/>
      <c r="C60" s="42"/>
      <c r="D60" s="42"/>
      <c r="E60" s="42"/>
      <c r="F60" s="42"/>
      <c r="G60" s="533"/>
      <c r="H60" s="21">
        <v>423599</v>
      </c>
      <c r="I60" s="22" t="s">
        <v>174</v>
      </c>
      <c r="J60" s="237">
        <v>0</v>
      </c>
      <c r="K60" s="23"/>
      <c r="L60" s="298">
        <f t="shared" si="0"/>
        <v>0</v>
      </c>
    </row>
    <row r="61" spans="1:12" ht="18.75" customHeight="1">
      <c r="A61" s="533"/>
      <c r="B61" s="247"/>
      <c r="C61" s="247"/>
      <c r="D61" s="247"/>
      <c r="E61" s="247"/>
      <c r="F61" s="247"/>
      <c r="G61" s="533"/>
      <c r="H61" s="21">
        <v>423539</v>
      </c>
      <c r="I61" s="22" t="s">
        <v>292</v>
      </c>
      <c r="J61" s="237">
        <v>320000</v>
      </c>
      <c r="K61" s="23"/>
      <c r="L61" s="230">
        <f t="shared" si="0"/>
        <v>320000</v>
      </c>
    </row>
    <row r="62" spans="1:12" s="508" customFormat="1" ht="18.75" customHeight="1">
      <c r="A62" s="533"/>
      <c r="B62" s="507"/>
      <c r="C62" s="507"/>
      <c r="D62" s="507"/>
      <c r="E62" s="507"/>
      <c r="F62" s="507"/>
      <c r="G62" s="533"/>
      <c r="H62" s="21">
        <v>423599</v>
      </c>
      <c r="I62" s="22" t="s">
        <v>254</v>
      </c>
      <c r="J62" s="237">
        <v>50000</v>
      </c>
      <c r="K62" s="23"/>
      <c r="L62" s="230">
        <f>SUM(J62+K62)</f>
        <v>50000</v>
      </c>
    </row>
    <row r="63" spans="1:12" ht="32.25" customHeight="1">
      <c r="A63" s="533"/>
      <c r="B63" s="42"/>
      <c r="C63" s="42"/>
      <c r="D63" s="42"/>
      <c r="E63" s="42"/>
      <c r="F63" s="42"/>
      <c r="G63" s="533"/>
      <c r="H63" s="21">
        <v>423711</v>
      </c>
      <c r="I63" s="22" t="s">
        <v>62</v>
      </c>
      <c r="J63" s="23">
        <v>80000</v>
      </c>
      <c r="K63" s="23"/>
      <c r="L63" s="11">
        <f t="shared" si="0"/>
        <v>80000</v>
      </c>
    </row>
    <row r="64" spans="1:12" ht="48.75" customHeight="1" thickBot="1">
      <c r="A64" s="533"/>
      <c r="B64" s="42"/>
      <c r="C64" s="42"/>
      <c r="D64" s="42"/>
      <c r="E64" s="42"/>
      <c r="F64" s="42"/>
      <c r="G64" s="533"/>
      <c r="H64" s="21">
        <v>423911</v>
      </c>
      <c r="I64" s="22" t="s">
        <v>63</v>
      </c>
      <c r="J64" s="23">
        <f>12000+5000+10000</f>
        <v>27000</v>
      </c>
      <c r="K64" s="23"/>
      <c r="L64" s="230">
        <f t="shared" si="0"/>
        <v>27000</v>
      </c>
    </row>
    <row r="65" spans="1:12" ht="63.75" customHeight="1" hidden="1" thickBot="1">
      <c r="A65" s="534"/>
      <c r="B65" s="42"/>
      <c r="C65" s="42"/>
      <c r="D65" s="42"/>
      <c r="E65" s="42"/>
      <c r="F65" s="42"/>
      <c r="G65" s="533"/>
      <c r="H65" s="21">
        <v>423911</v>
      </c>
      <c r="I65" s="22" t="s">
        <v>64</v>
      </c>
      <c r="J65" s="23">
        <v>0</v>
      </c>
      <c r="K65" s="23"/>
      <c r="L65" s="8">
        <f t="shared" si="0"/>
        <v>0</v>
      </c>
    </row>
    <row r="66" spans="1:12" ht="16.5" thickBot="1">
      <c r="A66" s="532">
        <v>9</v>
      </c>
      <c r="B66" s="36"/>
      <c r="C66" s="36"/>
      <c r="D66" s="36"/>
      <c r="E66" s="36"/>
      <c r="F66" s="36"/>
      <c r="G66" s="532">
        <v>229</v>
      </c>
      <c r="H66" s="13">
        <v>424</v>
      </c>
      <c r="I66" s="205" t="s">
        <v>25</v>
      </c>
      <c r="J66" s="15">
        <f>J67+J68</f>
        <v>100000</v>
      </c>
      <c r="K66" s="217">
        <f>K67+K68</f>
        <v>0</v>
      </c>
      <c r="L66" s="15">
        <f>L67+L68</f>
        <v>100000</v>
      </c>
    </row>
    <row r="67" spans="1:12" ht="16.5" thickBot="1">
      <c r="A67" s="533"/>
      <c r="B67" s="233"/>
      <c r="C67" s="233"/>
      <c r="D67" s="233"/>
      <c r="E67" s="233"/>
      <c r="F67" s="233"/>
      <c r="G67" s="533"/>
      <c r="H67" s="17">
        <v>424221</v>
      </c>
      <c r="I67" s="10" t="s">
        <v>10</v>
      </c>
      <c r="J67" s="281">
        <v>100000</v>
      </c>
      <c r="K67" s="11"/>
      <c r="L67" s="281">
        <f>SUM(J67+K67)</f>
        <v>100000</v>
      </c>
    </row>
    <row r="68" spans="1:12" ht="31.5" hidden="1" thickBot="1">
      <c r="A68" s="534"/>
      <c r="B68" s="42"/>
      <c r="C68" s="42"/>
      <c r="D68" s="42"/>
      <c r="E68" s="42"/>
      <c r="F68" s="42"/>
      <c r="G68" s="534"/>
      <c r="H68" s="9">
        <v>424911</v>
      </c>
      <c r="I68" s="265" t="s">
        <v>65</v>
      </c>
      <c r="J68" s="264">
        <v>0</v>
      </c>
      <c r="K68" s="264"/>
      <c r="L68" s="8">
        <f t="shared" si="0"/>
        <v>0</v>
      </c>
    </row>
    <row r="69" spans="1:12" ht="16.5" thickBot="1">
      <c r="A69" s="557">
        <v>10</v>
      </c>
      <c r="B69" s="40"/>
      <c r="C69" s="40"/>
      <c r="D69" s="40"/>
      <c r="E69" s="40"/>
      <c r="F69" s="40"/>
      <c r="G69" s="557">
        <v>230</v>
      </c>
      <c r="H69" s="13">
        <v>425</v>
      </c>
      <c r="I69" s="14" t="s">
        <v>11</v>
      </c>
      <c r="J69" s="15">
        <f>SUM(J70:J75)</f>
        <v>920000</v>
      </c>
      <c r="K69" s="15">
        <f>SUM(K70:K75)</f>
        <v>0</v>
      </c>
      <c r="L69" s="15">
        <f>SUM(L70:L75)</f>
        <v>920000</v>
      </c>
    </row>
    <row r="70" spans="1:12" ht="15.75">
      <c r="A70" s="558"/>
      <c r="B70" s="43"/>
      <c r="C70" s="43"/>
      <c r="D70" s="43"/>
      <c r="E70" s="43"/>
      <c r="F70" s="43"/>
      <c r="G70" s="558"/>
      <c r="H70" s="28">
        <v>425113</v>
      </c>
      <c r="I70" s="29" t="s">
        <v>193</v>
      </c>
      <c r="J70" s="25">
        <v>200000</v>
      </c>
      <c r="K70" s="47"/>
      <c r="L70" s="58">
        <f t="shared" si="0"/>
        <v>200000</v>
      </c>
    </row>
    <row r="71" spans="1:12" ht="31.5">
      <c r="A71" s="558"/>
      <c r="B71" s="43"/>
      <c r="C71" s="43"/>
      <c r="D71" s="43"/>
      <c r="E71" s="43"/>
      <c r="F71" s="43"/>
      <c r="G71" s="558"/>
      <c r="H71" s="1">
        <v>425191</v>
      </c>
      <c r="I71" s="24" t="s">
        <v>226</v>
      </c>
      <c r="J71" s="296">
        <v>290000</v>
      </c>
      <c r="K71" s="300">
        <v>0</v>
      </c>
      <c r="L71" s="230">
        <f t="shared" si="0"/>
        <v>290000</v>
      </c>
    </row>
    <row r="72" spans="1:12" ht="48.75" customHeight="1">
      <c r="A72" s="558"/>
      <c r="B72" s="43"/>
      <c r="C72" s="43"/>
      <c r="D72" s="43"/>
      <c r="E72" s="43"/>
      <c r="F72" s="43"/>
      <c r="G72" s="558"/>
      <c r="H72" s="301">
        <v>425219</v>
      </c>
      <c r="I72" s="24" t="s">
        <v>255</v>
      </c>
      <c r="J72" s="296">
        <v>150000</v>
      </c>
      <c r="K72" s="300"/>
      <c r="L72" s="11">
        <f t="shared" si="0"/>
        <v>150000</v>
      </c>
    </row>
    <row r="73" spans="1:12" ht="51" customHeight="1">
      <c r="A73" s="558"/>
      <c r="B73" s="43"/>
      <c r="C73" s="43"/>
      <c r="D73" s="43"/>
      <c r="E73" s="43"/>
      <c r="F73" s="43"/>
      <c r="G73" s="558"/>
      <c r="H73" s="304">
        <v>425222</v>
      </c>
      <c r="I73" s="303" t="s">
        <v>66</v>
      </c>
      <c r="J73" s="296">
        <v>100000</v>
      </c>
      <c r="K73" s="302"/>
      <c r="L73" s="298">
        <f t="shared" si="0"/>
        <v>100000</v>
      </c>
    </row>
    <row r="74" spans="1:12" ht="67.5" customHeight="1">
      <c r="A74" s="558"/>
      <c r="B74" s="43"/>
      <c r="C74" s="43"/>
      <c r="D74" s="43"/>
      <c r="E74" s="43"/>
      <c r="F74" s="43"/>
      <c r="G74" s="558"/>
      <c r="H74" s="301">
        <v>425262</v>
      </c>
      <c r="I74" s="5" t="s">
        <v>171</v>
      </c>
      <c r="J74" s="296">
        <v>150000</v>
      </c>
      <c r="K74" s="300"/>
      <c r="L74" s="298">
        <f t="shared" si="0"/>
        <v>150000</v>
      </c>
    </row>
    <row r="75" spans="1:12" ht="48" customHeight="1" thickBot="1">
      <c r="A75" s="566"/>
      <c r="B75" s="41"/>
      <c r="C75" s="41"/>
      <c r="D75" s="41"/>
      <c r="E75" s="41"/>
      <c r="F75" s="41"/>
      <c r="G75" s="566"/>
      <c r="H75" s="3">
        <v>425281</v>
      </c>
      <c r="I75" s="282" t="s">
        <v>67</v>
      </c>
      <c r="J75" s="4">
        <v>30000</v>
      </c>
      <c r="K75" s="45"/>
      <c r="L75" s="264">
        <f t="shared" si="0"/>
        <v>30000</v>
      </c>
    </row>
    <row r="76" spans="1:12" ht="16.5" thickBot="1">
      <c r="A76" s="532">
        <v>11</v>
      </c>
      <c r="B76" s="60"/>
      <c r="C76" s="60"/>
      <c r="D76" s="60"/>
      <c r="E76" s="60"/>
      <c r="F76" s="60"/>
      <c r="G76" s="532">
        <v>231</v>
      </c>
      <c r="H76" s="69">
        <v>426</v>
      </c>
      <c r="I76" s="14" t="s">
        <v>12</v>
      </c>
      <c r="J76" s="15">
        <f>SUM(J77:J86)</f>
        <v>775000</v>
      </c>
      <c r="K76" s="15">
        <f>SUM(K77:K86)</f>
        <v>0</v>
      </c>
      <c r="L76" s="15">
        <f>SUM(L77:L86)</f>
        <v>775000</v>
      </c>
    </row>
    <row r="77" spans="1:12" ht="48" customHeight="1">
      <c r="A77" s="533"/>
      <c r="B77" s="44"/>
      <c r="C77" s="44"/>
      <c r="D77" s="44"/>
      <c r="E77" s="44"/>
      <c r="F77" s="44"/>
      <c r="G77" s="533"/>
      <c r="H77" s="70">
        <v>426111</v>
      </c>
      <c r="I77" s="18" t="s">
        <v>68</v>
      </c>
      <c r="J77" s="19">
        <v>80000</v>
      </c>
      <c r="K77" s="19"/>
      <c r="L77" s="281">
        <f t="shared" si="0"/>
        <v>80000</v>
      </c>
    </row>
    <row r="78" spans="1:12" ht="63" customHeight="1">
      <c r="A78" s="533"/>
      <c r="B78" s="44"/>
      <c r="C78" s="44"/>
      <c r="D78" s="44"/>
      <c r="E78" s="44"/>
      <c r="F78" s="44"/>
      <c r="G78" s="533"/>
      <c r="H78" s="71">
        <v>426131</v>
      </c>
      <c r="I78" s="22" t="s">
        <v>69</v>
      </c>
      <c r="J78" s="23">
        <v>50000</v>
      </c>
      <c r="K78" s="23">
        <v>0</v>
      </c>
      <c r="L78" s="230">
        <f t="shared" si="0"/>
        <v>50000</v>
      </c>
    </row>
    <row r="79" spans="1:12" ht="47.25">
      <c r="A79" s="533"/>
      <c r="B79" s="44"/>
      <c r="C79" s="44"/>
      <c r="D79" s="44"/>
      <c r="E79" s="44"/>
      <c r="F79" s="44"/>
      <c r="G79" s="533"/>
      <c r="H79" s="71">
        <v>426311</v>
      </c>
      <c r="I79" s="22" t="s">
        <v>70</v>
      </c>
      <c r="J79" s="23">
        <v>100000</v>
      </c>
      <c r="K79" s="23"/>
      <c r="L79" s="11">
        <f t="shared" si="0"/>
        <v>100000</v>
      </c>
    </row>
    <row r="80" spans="1:12" ht="45.75" customHeight="1">
      <c r="A80" s="533"/>
      <c r="B80" s="44"/>
      <c r="C80" s="44"/>
      <c r="D80" s="44"/>
      <c r="E80" s="44"/>
      <c r="F80" s="44"/>
      <c r="G80" s="533"/>
      <c r="H80" s="71">
        <v>426411</v>
      </c>
      <c r="I80" s="22" t="s">
        <v>71</v>
      </c>
      <c r="J80" s="23">
        <v>190000</v>
      </c>
      <c r="K80" s="23"/>
      <c r="L80" s="298">
        <f t="shared" si="0"/>
        <v>190000</v>
      </c>
    </row>
    <row r="81" spans="1:12" ht="17.25" customHeight="1">
      <c r="A81" s="533"/>
      <c r="B81" s="44"/>
      <c r="C81" s="44"/>
      <c r="D81" s="44"/>
      <c r="E81" s="44"/>
      <c r="F81" s="44"/>
      <c r="G81" s="533"/>
      <c r="H81" s="71">
        <v>426413</v>
      </c>
      <c r="I81" s="22" t="s">
        <v>72</v>
      </c>
      <c r="J81" s="23">
        <v>30000</v>
      </c>
      <c r="K81" s="23"/>
      <c r="L81" s="298">
        <f t="shared" si="0"/>
        <v>30000</v>
      </c>
    </row>
    <row r="82" spans="1:12" ht="32.25" customHeight="1">
      <c r="A82" s="533"/>
      <c r="B82" s="44"/>
      <c r="C82" s="44"/>
      <c r="D82" s="44"/>
      <c r="E82" s="44"/>
      <c r="F82" s="44"/>
      <c r="G82" s="533"/>
      <c r="H82" s="292">
        <v>426491</v>
      </c>
      <c r="I82" s="293" t="s">
        <v>73</v>
      </c>
      <c r="J82" s="294">
        <v>30000</v>
      </c>
      <c r="K82" s="294"/>
      <c r="L82" s="230">
        <f t="shared" si="0"/>
        <v>30000</v>
      </c>
    </row>
    <row r="83" spans="1:12" ht="32.25" customHeight="1" hidden="1">
      <c r="A83" s="533"/>
      <c r="B83" s="182"/>
      <c r="C83" s="182"/>
      <c r="D83" s="182"/>
      <c r="E83" s="182"/>
      <c r="F83" s="182"/>
      <c r="G83" s="533"/>
      <c r="H83" s="292">
        <v>426621</v>
      </c>
      <c r="I83" s="293" t="s">
        <v>13</v>
      </c>
      <c r="J83" s="294">
        <v>0</v>
      </c>
      <c r="K83" s="230"/>
      <c r="L83" s="230">
        <f>SUM(J83+K83)</f>
        <v>0</v>
      </c>
    </row>
    <row r="84" spans="1:12" ht="17.25" customHeight="1">
      <c r="A84" s="533"/>
      <c r="B84" s="44"/>
      <c r="C84" s="44"/>
      <c r="D84" s="44"/>
      <c r="E84" s="44"/>
      <c r="F84" s="44"/>
      <c r="G84" s="533"/>
      <c r="H84" s="292">
        <v>426811</v>
      </c>
      <c r="I84" s="305" t="s">
        <v>74</v>
      </c>
      <c r="J84" s="306">
        <v>80000</v>
      </c>
      <c r="K84" s="230"/>
      <c r="L84" s="230">
        <f t="shared" si="0"/>
        <v>80000</v>
      </c>
    </row>
    <row r="85" spans="1:12" ht="31.5" customHeight="1">
      <c r="A85" s="533"/>
      <c r="B85" s="44"/>
      <c r="C85" s="44"/>
      <c r="D85" s="44"/>
      <c r="E85" s="44"/>
      <c r="F85" s="44"/>
      <c r="G85" s="533"/>
      <c r="H85" s="292">
        <v>426911</v>
      </c>
      <c r="I85" s="293" t="s">
        <v>75</v>
      </c>
      <c r="J85" s="230">
        <v>150000</v>
      </c>
      <c r="K85" s="306"/>
      <c r="L85" s="299">
        <f t="shared" si="0"/>
        <v>150000</v>
      </c>
    </row>
    <row r="86" spans="1:12" ht="30.75" customHeight="1" thickBot="1">
      <c r="A86" s="534"/>
      <c r="B86" s="44"/>
      <c r="C86" s="44"/>
      <c r="D86" s="44"/>
      <c r="E86" s="44"/>
      <c r="F86" s="44"/>
      <c r="G86" s="534"/>
      <c r="H86" s="193">
        <v>426913</v>
      </c>
      <c r="I86" s="308" t="s">
        <v>76</v>
      </c>
      <c r="J86" s="264">
        <v>65000</v>
      </c>
      <c r="K86" s="264"/>
      <c r="L86" s="264">
        <f t="shared" si="0"/>
        <v>65000</v>
      </c>
    </row>
    <row r="87" spans="1:12" ht="30.75" customHeight="1" thickBot="1">
      <c r="A87" s="532">
        <v>12</v>
      </c>
      <c r="B87" s="252"/>
      <c r="C87" s="252"/>
      <c r="D87" s="252"/>
      <c r="E87" s="252"/>
      <c r="F87" s="252"/>
      <c r="G87" s="532">
        <v>232</v>
      </c>
      <c r="H87" s="13">
        <v>444</v>
      </c>
      <c r="I87" s="311" t="s">
        <v>161</v>
      </c>
      <c r="J87" s="310">
        <f>+J88</f>
        <v>10000</v>
      </c>
      <c r="K87" s="310">
        <f>+K88</f>
        <v>0</v>
      </c>
      <c r="L87" s="309">
        <f>+L88</f>
        <v>10000</v>
      </c>
    </row>
    <row r="88" spans="1:12" ht="20.25" customHeight="1" thickBot="1">
      <c r="A88" s="534"/>
      <c r="B88" s="251"/>
      <c r="C88" s="251"/>
      <c r="D88" s="251"/>
      <c r="E88" s="251"/>
      <c r="F88" s="251"/>
      <c r="G88" s="534"/>
      <c r="H88" s="279">
        <v>444211</v>
      </c>
      <c r="I88" s="313" t="s">
        <v>160</v>
      </c>
      <c r="J88" s="260">
        <v>10000</v>
      </c>
      <c r="K88" s="260"/>
      <c r="L88" s="260">
        <f>SUM(J88+K88)</f>
        <v>10000</v>
      </c>
    </row>
    <row r="89" spans="1:12" ht="30.75" customHeight="1" thickBot="1">
      <c r="A89" s="532">
        <v>12</v>
      </c>
      <c r="B89" s="60"/>
      <c r="C89" s="60"/>
      <c r="D89" s="60"/>
      <c r="E89" s="60"/>
      <c r="F89" s="60"/>
      <c r="G89" s="532">
        <v>233</v>
      </c>
      <c r="H89" s="197">
        <v>465</v>
      </c>
      <c r="I89" s="312" t="s">
        <v>83</v>
      </c>
      <c r="J89" s="217">
        <f>+J90</f>
        <v>1372279</v>
      </c>
      <c r="K89" s="310">
        <f>+K90</f>
        <v>0</v>
      </c>
      <c r="L89" s="309">
        <f>+L90</f>
        <v>1372279</v>
      </c>
    </row>
    <row r="90" spans="1:12" ht="20.25" customHeight="1" thickBot="1">
      <c r="A90" s="534"/>
      <c r="B90" s="61"/>
      <c r="C90" s="61"/>
      <c r="D90" s="61"/>
      <c r="E90" s="61"/>
      <c r="F90" s="61"/>
      <c r="G90" s="534"/>
      <c r="H90" s="56">
        <v>465112</v>
      </c>
      <c r="I90" s="313" t="s">
        <v>84</v>
      </c>
      <c r="J90" s="260">
        <v>1372279</v>
      </c>
      <c r="K90" s="260"/>
      <c r="L90" s="261">
        <f t="shared" si="0"/>
        <v>1372279</v>
      </c>
    </row>
    <row r="91" spans="1:12" ht="16.5" thickBot="1">
      <c r="A91" s="532">
        <v>13</v>
      </c>
      <c r="B91" s="36"/>
      <c r="C91" s="36"/>
      <c r="D91" s="36"/>
      <c r="E91" s="36"/>
      <c r="F91" s="36"/>
      <c r="G91" s="532">
        <v>234</v>
      </c>
      <c r="H91" s="13">
        <v>482</v>
      </c>
      <c r="I91" s="49" t="s">
        <v>14</v>
      </c>
      <c r="J91" s="50">
        <f>SUM(J92:J95)</f>
        <v>55000</v>
      </c>
      <c r="K91" s="50">
        <f>SUM(K92:K95)</f>
        <v>0</v>
      </c>
      <c r="L91" s="217">
        <f>SUM(L92:L95)</f>
        <v>55000</v>
      </c>
    </row>
    <row r="92" spans="1:12" ht="15.75">
      <c r="A92" s="533"/>
      <c r="B92" s="42"/>
      <c r="C92" s="42"/>
      <c r="D92" s="42"/>
      <c r="E92" s="42"/>
      <c r="F92" s="42"/>
      <c r="G92" s="533"/>
      <c r="H92" s="70">
        <v>482131</v>
      </c>
      <c r="I92" s="18" t="s">
        <v>36</v>
      </c>
      <c r="J92" s="19">
        <v>25000</v>
      </c>
      <c r="K92" s="25"/>
      <c r="L92" s="281">
        <f t="shared" si="0"/>
        <v>25000</v>
      </c>
    </row>
    <row r="93" spans="1:12" ht="15.75">
      <c r="A93" s="533"/>
      <c r="B93" s="44"/>
      <c r="C93" s="44"/>
      <c r="D93" s="44"/>
      <c r="E93" s="44"/>
      <c r="F93" s="44"/>
      <c r="G93" s="533"/>
      <c r="H93" s="292">
        <v>482211</v>
      </c>
      <c r="I93" s="305" t="s">
        <v>256</v>
      </c>
      <c r="J93" s="294">
        <v>10000</v>
      </c>
      <c r="K93" s="296"/>
      <c r="L93" s="23">
        <f t="shared" si="0"/>
        <v>10000</v>
      </c>
    </row>
    <row r="94" spans="1:12" ht="15.75">
      <c r="A94" s="533"/>
      <c r="B94" s="44"/>
      <c r="C94" s="44"/>
      <c r="D94" s="44"/>
      <c r="E94" s="44"/>
      <c r="F94" s="44"/>
      <c r="G94" s="533"/>
      <c r="H94" s="292">
        <v>482241</v>
      </c>
      <c r="I94" s="305" t="s">
        <v>37</v>
      </c>
      <c r="J94" s="294">
        <v>4000</v>
      </c>
      <c r="K94" s="296"/>
      <c r="L94" s="230">
        <f t="shared" si="0"/>
        <v>4000</v>
      </c>
    </row>
    <row r="95" spans="1:12" ht="16.5" thickBot="1">
      <c r="A95" s="534"/>
      <c r="B95" s="44"/>
      <c r="C95" s="44"/>
      <c r="D95" s="44"/>
      <c r="E95" s="44"/>
      <c r="F95" s="44"/>
      <c r="G95" s="534"/>
      <c r="H95" s="203">
        <v>482251</v>
      </c>
      <c r="I95" s="265" t="s">
        <v>38</v>
      </c>
      <c r="J95" s="307">
        <v>16000</v>
      </c>
      <c r="K95" s="263"/>
      <c r="L95" s="264">
        <f t="shared" si="0"/>
        <v>16000</v>
      </c>
    </row>
    <row r="96" spans="1:12" ht="15.75" hidden="1" thickBot="1">
      <c r="A96" s="532">
        <v>14</v>
      </c>
      <c r="B96" s="36"/>
      <c r="C96" s="36"/>
      <c r="D96" s="36"/>
      <c r="E96" s="36"/>
      <c r="F96" s="36"/>
      <c r="G96" s="532">
        <v>253</v>
      </c>
      <c r="H96" s="48">
        <v>483</v>
      </c>
      <c r="I96" s="49" t="s">
        <v>15</v>
      </c>
      <c r="J96" s="217">
        <f>J97</f>
        <v>0</v>
      </c>
      <c r="K96" s="217">
        <f>K97</f>
        <v>0</v>
      </c>
      <c r="L96" s="15">
        <f>SUM(J96+K96)</f>
        <v>0</v>
      </c>
    </row>
    <row r="97" spans="1:12" ht="33.75" customHeight="1" hidden="1" thickBot="1">
      <c r="A97" s="534"/>
      <c r="B97" s="37"/>
      <c r="C97" s="37"/>
      <c r="D97" s="37"/>
      <c r="E97" s="37"/>
      <c r="F97" s="37"/>
      <c r="G97" s="534"/>
      <c r="H97" s="6">
        <v>483111</v>
      </c>
      <c r="I97" s="7" t="s">
        <v>77</v>
      </c>
      <c r="J97" s="8">
        <v>0</v>
      </c>
      <c r="K97" s="8"/>
      <c r="L97" s="30">
        <f t="shared" si="0"/>
        <v>0</v>
      </c>
    </row>
    <row r="98" spans="1:12" ht="16.5" thickBot="1">
      <c r="A98" s="532">
        <v>15</v>
      </c>
      <c r="B98" s="36"/>
      <c r="C98" s="36"/>
      <c r="D98" s="36"/>
      <c r="E98" s="36"/>
      <c r="F98" s="36"/>
      <c r="G98" s="532">
        <v>235</v>
      </c>
      <c r="H98" s="13">
        <v>512</v>
      </c>
      <c r="I98" s="14" t="s">
        <v>16</v>
      </c>
      <c r="J98" s="15">
        <f>SUM(J99:J103)</f>
        <v>835000</v>
      </c>
      <c r="K98" s="15">
        <f>SUM(K99:K103)</f>
        <v>281798</v>
      </c>
      <c r="L98" s="15">
        <f>SUM(L99:L103)</f>
        <v>1116798</v>
      </c>
    </row>
    <row r="99" spans="1:12" ht="15.75">
      <c r="A99" s="533"/>
      <c r="B99" s="270"/>
      <c r="C99" s="270"/>
      <c r="D99" s="270"/>
      <c r="E99" s="270"/>
      <c r="F99" s="270"/>
      <c r="G99" s="533"/>
      <c r="H99" s="56">
        <v>512211</v>
      </c>
      <c r="I99" s="57" t="s">
        <v>172</v>
      </c>
      <c r="J99" s="58">
        <f>170000+100000</f>
        <v>270000</v>
      </c>
      <c r="K99" s="58"/>
      <c r="L99" s="281">
        <f>SUM(J99+K99)</f>
        <v>270000</v>
      </c>
    </row>
    <row r="100" spans="1:12" ht="15" hidden="1">
      <c r="A100" s="533"/>
      <c r="B100" s="449"/>
      <c r="C100" s="449"/>
      <c r="D100" s="449"/>
      <c r="E100" s="449"/>
      <c r="F100" s="449"/>
      <c r="G100" s="533"/>
      <c r="H100" s="460">
        <v>512212</v>
      </c>
      <c r="I100" s="22" t="s">
        <v>227</v>
      </c>
      <c r="J100" s="230">
        <v>0</v>
      </c>
      <c r="K100" s="230"/>
      <c r="L100" s="314">
        <f>SUM(J100+K100)</f>
        <v>0</v>
      </c>
    </row>
    <row r="101" spans="1:12" ht="16.5" customHeight="1">
      <c r="A101" s="533"/>
      <c r="B101" s="42"/>
      <c r="C101" s="42"/>
      <c r="D101" s="42"/>
      <c r="E101" s="42"/>
      <c r="F101" s="42"/>
      <c r="G101" s="533"/>
      <c r="H101" s="460">
        <v>512221</v>
      </c>
      <c r="I101" s="99" t="s">
        <v>39</v>
      </c>
      <c r="J101" s="298">
        <v>35000</v>
      </c>
      <c r="K101" s="230"/>
      <c r="L101" s="314">
        <f t="shared" si="0"/>
        <v>35000</v>
      </c>
    </row>
    <row r="102" spans="1:12" ht="16.5" customHeight="1">
      <c r="A102" s="449"/>
      <c r="B102" s="450"/>
      <c r="C102" s="450"/>
      <c r="D102" s="450"/>
      <c r="E102" s="450"/>
      <c r="F102" s="450"/>
      <c r="G102" s="450"/>
      <c r="H102" s="379">
        <v>512222</v>
      </c>
      <c r="I102" s="99" t="s">
        <v>228</v>
      </c>
      <c r="J102" s="298">
        <v>30000</v>
      </c>
      <c r="K102" s="230"/>
      <c r="L102" s="230">
        <f t="shared" si="0"/>
        <v>30000</v>
      </c>
    </row>
    <row r="103" spans="1:12" ht="16.5" customHeight="1" thickBot="1">
      <c r="A103" s="449"/>
      <c r="B103" s="450"/>
      <c r="C103" s="450"/>
      <c r="D103" s="450"/>
      <c r="E103" s="450"/>
      <c r="F103" s="450"/>
      <c r="G103" s="450"/>
      <c r="H103" s="461">
        <v>512631</v>
      </c>
      <c r="I103" s="380" t="s">
        <v>225</v>
      </c>
      <c r="J103" s="264">
        <v>500000</v>
      </c>
      <c r="K103" s="8">
        <v>281798</v>
      </c>
      <c r="L103" s="264">
        <f t="shared" si="0"/>
        <v>781798</v>
      </c>
    </row>
    <row r="104" spans="1:12" ht="16.5" customHeight="1">
      <c r="A104" s="496"/>
      <c r="B104" s="497"/>
      <c r="C104" s="497"/>
      <c r="D104" s="497"/>
      <c r="E104" s="497"/>
      <c r="F104" s="497"/>
      <c r="G104" s="497"/>
      <c r="H104" s="279" t="s">
        <v>278</v>
      </c>
      <c r="I104" s="10" t="s">
        <v>279</v>
      </c>
      <c r="J104" s="11">
        <f>+J15+J18+J22+J27+J29+J31+J50+J54+J66+J69+J76+J87+J89+J91+J98</f>
        <v>20476333</v>
      </c>
      <c r="K104" s="11">
        <v>0</v>
      </c>
      <c r="L104" s="298">
        <f t="shared" si="0"/>
        <v>20476333</v>
      </c>
    </row>
    <row r="105" spans="1:12" ht="16.5" customHeight="1">
      <c r="A105" s="496"/>
      <c r="B105" s="497"/>
      <c r="C105" s="497"/>
      <c r="D105" s="497"/>
      <c r="E105" s="497"/>
      <c r="F105" s="497"/>
      <c r="G105" s="497"/>
      <c r="H105" s="433" t="s">
        <v>280</v>
      </c>
      <c r="I105" s="10" t="s">
        <v>281</v>
      </c>
      <c r="J105" s="299">
        <v>0</v>
      </c>
      <c r="K105" s="299">
        <v>0</v>
      </c>
      <c r="L105" s="299">
        <f t="shared" si="0"/>
        <v>0</v>
      </c>
    </row>
    <row r="106" spans="1:12" ht="16.5" customHeight="1">
      <c r="A106" s="496"/>
      <c r="B106" s="497"/>
      <c r="C106" s="497"/>
      <c r="D106" s="497"/>
      <c r="E106" s="497"/>
      <c r="F106" s="497"/>
      <c r="G106" s="497"/>
      <c r="H106" s="433" t="s">
        <v>282</v>
      </c>
      <c r="I106" s="10" t="s">
        <v>283</v>
      </c>
      <c r="J106" s="299">
        <v>0</v>
      </c>
      <c r="K106" s="299">
        <f>+K22</f>
        <v>37000</v>
      </c>
      <c r="L106" s="299">
        <f t="shared" si="0"/>
        <v>37000</v>
      </c>
    </row>
    <row r="107" spans="1:12" ht="16.5" customHeight="1" thickBot="1">
      <c r="A107" s="496"/>
      <c r="B107" s="497"/>
      <c r="C107" s="497"/>
      <c r="D107" s="497"/>
      <c r="E107" s="497"/>
      <c r="F107" s="497"/>
      <c r="G107" s="497"/>
      <c r="H107" s="498" t="s">
        <v>284</v>
      </c>
      <c r="I107" s="7" t="s">
        <v>285</v>
      </c>
      <c r="J107" s="8">
        <v>0</v>
      </c>
      <c r="K107" s="8">
        <f>+K32+K103</f>
        <v>288798</v>
      </c>
      <c r="L107" s="344">
        <f t="shared" si="0"/>
        <v>288798</v>
      </c>
    </row>
    <row r="108" spans="1:12" ht="16.5" thickBot="1">
      <c r="A108" s="53"/>
      <c r="B108" s="62"/>
      <c r="C108" s="62"/>
      <c r="D108" s="62"/>
      <c r="E108" s="62"/>
      <c r="F108" s="62"/>
      <c r="G108" s="54"/>
      <c r="H108" s="54"/>
      <c r="I108" s="14" t="s">
        <v>18</v>
      </c>
      <c r="J108" s="15">
        <f>SUM(J15+J18+J22+J27+J29+J31+J50+J54+J66+J69+J76+J87+J89+J91+J96+J98)</f>
        <v>20476333</v>
      </c>
      <c r="K108" s="15">
        <f>SUM(K15+K18+K22+K27+K29+K31+K50+K54+K66+K69+K76+K89+K91+K96+K98)</f>
        <v>325798</v>
      </c>
      <c r="L108" s="15">
        <f>SUM(L15+L18+L22+L27+L29+L31+L50+L54+L66+L69+L76+L87+L89+L91+L96+L98)</f>
        <v>20802131</v>
      </c>
    </row>
    <row r="109" spans="1:12" ht="15.75" customHeight="1" hidden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1:12" ht="15.75" customHeight="1" hidden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1:12" ht="17.25" customHeight="1" hidden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2" ht="19.5" customHeight="1" hidden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1:12" ht="15.75" customHeight="1" hidden="1">
      <c r="A113" s="567" t="s">
        <v>277</v>
      </c>
      <c r="B113" s="567"/>
      <c r="C113" s="567"/>
      <c r="D113" s="567"/>
      <c r="E113" s="567"/>
      <c r="F113" s="567"/>
      <c r="G113" s="567"/>
      <c r="H113" s="567"/>
      <c r="I113" s="567"/>
      <c r="J113" s="567"/>
      <c r="K113" s="567"/>
      <c r="L113" s="567"/>
    </row>
    <row r="114" spans="1:12" ht="15.75" customHeight="1" hidden="1">
      <c r="A114" s="567"/>
      <c r="B114" s="567"/>
      <c r="C114" s="567"/>
      <c r="D114" s="567"/>
      <c r="E114" s="567"/>
      <c r="F114" s="567"/>
      <c r="G114" s="567"/>
      <c r="H114" s="567"/>
      <c r="I114" s="567"/>
      <c r="J114" s="567"/>
      <c r="K114" s="567"/>
      <c r="L114" s="567"/>
    </row>
    <row r="115" spans="1:12" ht="113.25" customHeight="1" thickBot="1">
      <c r="A115" s="568"/>
      <c r="B115" s="568"/>
      <c r="C115" s="568"/>
      <c r="D115" s="568"/>
      <c r="E115" s="568"/>
      <c r="F115" s="568"/>
      <c r="G115" s="568"/>
      <c r="H115" s="568"/>
      <c r="I115" s="568"/>
      <c r="J115" s="568"/>
      <c r="K115" s="568"/>
      <c r="L115" s="568"/>
    </row>
    <row r="116" spans="1:12" ht="15" customHeight="1">
      <c r="A116" s="509" t="s">
        <v>20</v>
      </c>
      <c r="B116" s="535" t="s">
        <v>85</v>
      </c>
      <c r="C116" s="535" t="s">
        <v>86</v>
      </c>
      <c r="D116" s="519" t="s">
        <v>96</v>
      </c>
      <c r="E116" s="522" t="s">
        <v>97</v>
      </c>
      <c r="F116" s="522" t="s">
        <v>91</v>
      </c>
      <c r="G116" s="525" t="s">
        <v>87</v>
      </c>
      <c r="H116" s="525" t="s">
        <v>88</v>
      </c>
      <c r="I116" s="509" t="s">
        <v>0</v>
      </c>
      <c r="J116" s="509" t="s">
        <v>131</v>
      </c>
      <c r="K116" s="509" t="s">
        <v>275</v>
      </c>
      <c r="L116" s="509" t="s">
        <v>22</v>
      </c>
    </row>
    <row r="117" spans="1:12" ht="28.5" customHeight="1" thickBot="1">
      <c r="A117" s="543"/>
      <c r="B117" s="536"/>
      <c r="C117" s="536"/>
      <c r="D117" s="520"/>
      <c r="E117" s="523"/>
      <c r="F117" s="523"/>
      <c r="G117" s="526"/>
      <c r="H117" s="526"/>
      <c r="I117" s="543"/>
      <c r="J117" s="510"/>
      <c r="K117" s="510"/>
      <c r="L117" s="510"/>
    </row>
    <row r="118" spans="1:12" ht="45.75" customHeight="1" thickBot="1">
      <c r="A118" s="510"/>
      <c r="B118" s="544"/>
      <c r="C118" s="544"/>
      <c r="D118" s="521"/>
      <c r="E118" s="524"/>
      <c r="F118" s="524"/>
      <c r="G118" s="527"/>
      <c r="H118" s="527"/>
      <c r="I118" s="510"/>
      <c r="J118" s="33" t="s">
        <v>23</v>
      </c>
      <c r="K118" s="33" t="s">
        <v>276</v>
      </c>
      <c r="L118" s="33"/>
    </row>
    <row r="119" spans="1:12" ht="76.5" customHeight="1" thickBot="1">
      <c r="A119" s="35"/>
      <c r="B119" s="66" t="s">
        <v>232</v>
      </c>
      <c r="C119" s="66" t="s">
        <v>89</v>
      </c>
      <c r="D119" s="68" t="s">
        <v>93</v>
      </c>
      <c r="E119" s="465" t="s">
        <v>233</v>
      </c>
      <c r="F119" s="67" t="s">
        <v>92</v>
      </c>
      <c r="G119" s="73"/>
      <c r="H119" s="74"/>
      <c r="I119" s="72"/>
      <c r="J119" s="33"/>
      <c r="K119" s="33"/>
      <c r="L119" s="33"/>
    </row>
    <row r="120" spans="1:12" ht="18.75" customHeight="1" thickBot="1">
      <c r="A120" s="532">
        <v>1</v>
      </c>
      <c r="B120" s="36"/>
      <c r="C120" s="36"/>
      <c r="D120" s="36"/>
      <c r="E120" s="36"/>
      <c r="F120" s="36"/>
      <c r="G120" s="532">
        <v>237</v>
      </c>
      <c r="H120" s="13">
        <v>421</v>
      </c>
      <c r="I120" s="14" t="s">
        <v>5</v>
      </c>
      <c r="J120" s="15">
        <f>SUM(J121:J122)</f>
        <v>1240000</v>
      </c>
      <c r="K120" s="15">
        <f>SUM(K121:K121)</f>
        <v>0</v>
      </c>
      <c r="L120" s="15">
        <f>SUM(L121:L122)</f>
        <v>1240000</v>
      </c>
    </row>
    <row r="121" spans="1:12" ht="47.25" customHeight="1">
      <c r="A121" s="533"/>
      <c r="B121" s="270"/>
      <c r="C121" s="270"/>
      <c r="D121" s="270"/>
      <c r="E121" s="270"/>
      <c r="F121" s="270"/>
      <c r="G121" s="533"/>
      <c r="H121" s="56">
        <v>421523</v>
      </c>
      <c r="I121" s="293" t="s">
        <v>56</v>
      </c>
      <c r="J121" s="281">
        <v>40000</v>
      </c>
      <c r="K121" s="59"/>
      <c r="L121" s="58">
        <f>SUM(J121+K121)</f>
        <v>40000</v>
      </c>
    </row>
    <row r="122" spans="1:12" ht="16.5" thickBot="1">
      <c r="A122" s="271"/>
      <c r="B122" s="271"/>
      <c r="C122" s="272"/>
      <c r="D122" s="271"/>
      <c r="E122" s="270"/>
      <c r="F122" s="271"/>
      <c r="G122" s="271"/>
      <c r="H122" s="203">
        <v>421626</v>
      </c>
      <c r="I122" s="265" t="s">
        <v>145</v>
      </c>
      <c r="J122" s="11">
        <v>1200000</v>
      </c>
      <c r="K122" s="263"/>
      <c r="L122" s="264">
        <f>SUM(J122+K122)</f>
        <v>1200000</v>
      </c>
    </row>
    <row r="123" spans="1:12" ht="16.5" thickBot="1">
      <c r="A123" s="273"/>
      <c r="B123" s="273"/>
      <c r="C123" s="274"/>
      <c r="D123" s="273"/>
      <c r="E123" s="346"/>
      <c r="F123" s="273"/>
      <c r="G123" s="273">
        <v>238</v>
      </c>
      <c r="H123" s="48">
        <v>422</v>
      </c>
      <c r="I123" s="49" t="s">
        <v>208</v>
      </c>
      <c r="J123" s="217">
        <f>SUM(J124:J127)</f>
        <v>70000</v>
      </c>
      <c r="K123" s="50"/>
      <c r="L123" s="50">
        <f>SUM(L124:L127)</f>
        <v>70000</v>
      </c>
    </row>
    <row r="124" spans="1:12" ht="31.5">
      <c r="A124" s="273"/>
      <c r="B124" s="273"/>
      <c r="C124" s="274"/>
      <c r="D124" s="273"/>
      <c r="E124" s="273"/>
      <c r="F124" s="273"/>
      <c r="G124" s="273"/>
      <c r="H124" s="17">
        <v>422111</v>
      </c>
      <c r="I124" s="10" t="s">
        <v>209</v>
      </c>
      <c r="J124" s="11">
        <v>20000</v>
      </c>
      <c r="K124" s="11"/>
      <c r="L124" s="11">
        <f>J124+K124</f>
        <v>20000</v>
      </c>
    </row>
    <row r="125" spans="1:12" ht="31.5">
      <c r="A125" s="273"/>
      <c r="B125" s="273"/>
      <c r="C125" s="274"/>
      <c r="D125" s="273"/>
      <c r="E125" s="273"/>
      <c r="F125" s="273"/>
      <c r="G125" s="273"/>
      <c r="H125" s="177">
        <v>422121</v>
      </c>
      <c r="I125" s="305" t="s">
        <v>210</v>
      </c>
      <c r="J125" s="230">
        <v>20000</v>
      </c>
      <c r="K125" s="230"/>
      <c r="L125" s="230">
        <f>J125+K125</f>
        <v>20000</v>
      </c>
    </row>
    <row r="126" spans="1:12" ht="31.5">
      <c r="A126" s="273"/>
      <c r="B126" s="273"/>
      <c r="C126" s="274"/>
      <c r="D126" s="273"/>
      <c r="E126" s="273"/>
      <c r="F126" s="273"/>
      <c r="G126" s="273"/>
      <c r="H126" s="21">
        <v>422199</v>
      </c>
      <c r="I126" s="308" t="s">
        <v>211</v>
      </c>
      <c r="J126" s="230">
        <v>10000</v>
      </c>
      <c r="K126" s="230"/>
      <c r="L126" s="230">
        <f>J126+K126</f>
        <v>10000</v>
      </c>
    </row>
    <row r="127" spans="1:12" ht="48" thickBot="1">
      <c r="A127" s="273"/>
      <c r="B127" s="273"/>
      <c r="C127" s="274"/>
      <c r="D127" s="273"/>
      <c r="E127" s="273"/>
      <c r="F127" s="273"/>
      <c r="G127" s="273"/>
      <c r="H127" s="176">
        <v>422211</v>
      </c>
      <c r="I127" s="265" t="s">
        <v>212</v>
      </c>
      <c r="J127" s="11">
        <v>20000</v>
      </c>
      <c r="K127" s="8"/>
      <c r="L127" s="8">
        <f>J127+K127</f>
        <v>20000</v>
      </c>
    </row>
    <row r="128" spans="1:12" ht="16.5" thickBot="1">
      <c r="A128" s="532">
        <v>2</v>
      </c>
      <c r="B128" s="36"/>
      <c r="C128" s="36"/>
      <c r="D128" s="36"/>
      <c r="E128" s="36"/>
      <c r="F128" s="36"/>
      <c r="G128" s="532">
        <v>239</v>
      </c>
      <c r="H128" s="13">
        <v>423</v>
      </c>
      <c r="I128" s="14" t="s">
        <v>7</v>
      </c>
      <c r="J128" s="15">
        <f>SUM(J129:J160)</f>
        <v>6191400</v>
      </c>
      <c r="K128" s="15">
        <f>SUM(K129:K160)</f>
        <v>0</v>
      </c>
      <c r="L128" s="15">
        <f>SUM(L129:L160)</f>
        <v>6191400</v>
      </c>
    </row>
    <row r="129" spans="1:12" ht="15" hidden="1">
      <c r="A129" s="533"/>
      <c r="B129" s="42"/>
      <c r="C129" s="42"/>
      <c r="D129" s="42"/>
      <c r="E129" s="42"/>
      <c r="F129" s="42"/>
      <c r="G129" s="533"/>
      <c r="H129" s="315">
        <v>423321</v>
      </c>
      <c r="I129" s="349" t="s">
        <v>214</v>
      </c>
      <c r="J129" s="23">
        <v>0</v>
      </c>
      <c r="K129" s="23"/>
      <c r="L129" s="281">
        <f aca="true" t="shared" si="1" ref="L129:L201">SUM(J129+K129)</f>
        <v>0</v>
      </c>
    </row>
    <row r="130" spans="1:12" ht="31.5">
      <c r="A130" s="533"/>
      <c r="B130" s="270"/>
      <c r="C130" s="270"/>
      <c r="D130" s="270"/>
      <c r="E130" s="270"/>
      <c r="F130" s="270"/>
      <c r="G130" s="533"/>
      <c r="H130" s="315">
        <v>423321</v>
      </c>
      <c r="I130" s="316" t="s">
        <v>257</v>
      </c>
      <c r="J130" s="23">
        <v>400000</v>
      </c>
      <c r="K130" s="23"/>
      <c r="L130" s="230">
        <f>J130+K130</f>
        <v>400000</v>
      </c>
    </row>
    <row r="131" spans="1:12" ht="38.25" customHeight="1">
      <c r="A131" s="533"/>
      <c r="B131" s="42"/>
      <c r="C131" s="42"/>
      <c r="D131" s="42"/>
      <c r="E131" s="42"/>
      <c r="F131" s="42"/>
      <c r="G131" s="533"/>
      <c r="H131" s="21">
        <v>423419</v>
      </c>
      <c r="I131" s="22" t="s">
        <v>215</v>
      </c>
      <c r="J131" s="23">
        <f>100000</f>
        <v>100000</v>
      </c>
      <c r="K131" s="23"/>
      <c r="L131" s="230">
        <f t="shared" si="1"/>
        <v>100000</v>
      </c>
    </row>
    <row r="132" spans="1:12" ht="20.25" customHeight="1">
      <c r="A132" s="533"/>
      <c r="B132" s="496"/>
      <c r="C132" s="496"/>
      <c r="D132" s="496"/>
      <c r="E132" s="496"/>
      <c r="F132" s="496"/>
      <c r="G132" s="533"/>
      <c r="H132" s="21">
        <v>423419</v>
      </c>
      <c r="I132" s="22" t="s">
        <v>289</v>
      </c>
      <c r="J132" s="23">
        <v>300000</v>
      </c>
      <c r="K132" s="23"/>
      <c r="L132" s="230">
        <f t="shared" si="1"/>
        <v>300000</v>
      </c>
    </row>
    <row r="133" spans="1:12" ht="31.5">
      <c r="A133" s="533"/>
      <c r="B133" s="42"/>
      <c r="C133" s="42"/>
      <c r="D133" s="42"/>
      <c r="E133" s="42"/>
      <c r="F133" s="42"/>
      <c r="G133" s="533"/>
      <c r="H133" s="21">
        <v>423599</v>
      </c>
      <c r="I133" s="22" t="s">
        <v>258</v>
      </c>
      <c r="J133" s="237">
        <v>110000</v>
      </c>
      <c r="K133" s="23"/>
      <c r="L133" s="230">
        <f t="shared" si="1"/>
        <v>110000</v>
      </c>
    </row>
    <row r="134" spans="1:12" ht="35.25" customHeight="1">
      <c r="A134" s="533"/>
      <c r="B134" s="490"/>
      <c r="C134" s="490"/>
      <c r="D134" s="490"/>
      <c r="E134" s="490"/>
      <c r="F134" s="490"/>
      <c r="G134" s="533"/>
      <c r="H134" s="21">
        <v>423599</v>
      </c>
      <c r="I134" s="22" t="s">
        <v>259</v>
      </c>
      <c r="J134" s="237">
        <v>110000</v>
      </c>
      <c r="K134" s="23"/>
      <c r="L134" s="230">
        <f t="shared" si="1"/>
        <v>110000</v>
      </c>
    </row>
    <row r="135" spans="1:12" ht="25.5" customHeight="1">
      <c r="A135" s="533"/>
      <c r="B135" s="496"/>
      <c r="C135" s="496"/>
      <c r="D135" s="496"/>
      <c r="E135" s="496"/>
      <c r="F135" s="496"/>
      <c r="G135" s="533"/>
      <c r="H135" s="21">
        <v>423599</v>
      </c>
      <c r="I135" s="22" t="s">
        <v>286</v>
      </c>
      <c r="J135" s="237">
        <v>70000</v>
      </c>
      <c r="K135" s="23"/>
      <c r="L135" s="11">
        <f t="shared" si="1"/>
        <v>70000</v>
      </c>
    </row>
    <row r="136" spans="1:12" ht="31.5">
      <c r="A136" s="533"/>
      <c r="B136" s="42"/>
      <c r="C136" s="42"/>
      <c r="D136" s="42"/>
      <c r="E136" s="42"/>
      <c r="F136" s="42"/>
      <c r="G136" s="533"/>
      <c r="H136" s="21">
        <v>423599</v>
      </c>
      <c r="I136" s="22" t="s">
        <v>260</v>
      </c>
      <c r="J136" s="237">
        <v>230000</v>
      </c>
      <c r="K136" s="23"/>
      <c r="L136" s="230">
        <f t="shared" si="1"/>
        <v>230000</v>
      </c>
    </row>
    <row r="137" spans="1:12" ht="31.5">
      <c r="A137" s="533"/>
      <c r="B137" s="270"/>
      <c r="C137" s="270"/>
      <c r="D137" s="270"/>
      <c r="E137" s="270"/>
      <c r="F137" s="270"/>
      <c r="G137" s="533"/>
      <c r="H137" s="21">
        <v>423599</v>
      </c>
      <c r="I137" s="22" t="s">
        <v>175</v>
      </c>
      <c r="J137" s="237">
        <v>100000</v>
      </c>
      <c r="K137" s="23"/>
      <c r="L137" s="298">
        <f t="shared" si="1"/>
        <v>100000</v>
      </c>
    </row>
    <row r="138" spans="1:12" ht="31.5">
      <c r="A138" s="533"/>
      <c r="B138" s="270"/>
      <c r="C138" s="270"/>
      <c r="D138" s="270"/>
      <c r="E138" s="270"/>
      <c r="F138" s="270"/>
      <c r="G138" s="533"/>
      <c r="H138" s="21">
        <v>423599</v>
      </c>
      <c r="I138" s="22" t="s">
        <v>176</v>
      </c>
      <c r="J138" s="237">
        <v>21000</v>
      </c>
      <c r="K138" s="23"/>
      <c r="L138" s="230">
        <f t="shared" si="1"/>
        <v>21000</v>
      </c>
    </row>
    <row r="139" spans="1:12" ht="63">
      <c r="A139" s="533"/>
      <c r="B139" s="270"/>
      <c r="C139" s="270"/>
      <c r="D139" s="270"/>
      <c r="E139" s="270"/>
      <c r="F139" s="270"/>
      <c r="G139" s="533"/>
      <c r="H139" s="21">
        <v>423599</v>
      </c>
      <c r="I139" s="202" t="s">
        <v>229</v>
      </c>
      <c r="J139" s="237">
        <v>120000</v>
      </c>
      <c r="K139" s="23"/>
      <c r="L139" s="230">
        <f t="shared" si="1"/>
        <v>120000</v>
      </c>
    </row>
    <row r="140" spans="1:12" ht="31.5">
      <c r="A140" s="533"/>
      <c r="B140" s="270"/>
      <c r="C140" s="270"/>
      <c r="D140" s="270"/>
      <c r="E140" s="270"/>
      <c r="F140" s="270"/>
      <c r="G140" s="533"/>
      <c r="H140" s="21">
        <v>423599</v>
      </c>
      <c r="I140" s="55" t="s">
        <v>79</v>
      </c>
      <c r="J140" s="466">
        <f>90000+30000</f>
        <v>120000</v>
      </c>
      <c r="K140" s="23"/>
      <c r="L140" s="230">
        <f t="shared" si="1"/>
        <v>120000</v>
      </c>
    </row>
    <row r="141" spans="1:12" ht="31.5">
      <c r="A141" s="533"/>
      <c r="B141" s="270"/>
      <c r="C141" s="270"/>
      <c r="D141" s="270"/>
      <c r="E141" s="270"/>
      <c r="F141" s="270"/>
      <c r="G141" s="533"/>
      <c r="H141" s="21">
        <v>423599</v>
      </c>
      <c r="I141" s="305" t="s">
        <v>80</v>
      </c>
      <c r="J141" s="237">
        <v>60000</v>
      </c>
      <c r="K141" s="23"/>
      <c r="L141" s="11">
        <f t="shared" si="1"/>
        <v>60000</v>
      </c>
    </row>
    <row r="142" spans="1:12" ht="15" hidden="1">
      <c r="A142" s="533"/>
      <c r="B142" s="270"/>
      <c r="C142" s="270"/>
      <c r="D142" s="270"/>
      <c r="E142" s="270"/>
      <c r="F142" s="270"/>
      <c r="G142" s="533"/>
      <c r="H142" s="21">
        <v>423599</v>
      </c>
      <c r="I142" s="22" t="s">
        <v>81</v>
      </c>
      <c r="J142" s="237">
        <v>0</v>
      </c>
      <c r="K142" s="23"/>
      <c r="L142" s="230">
        <f t="shared" si="1"/>
        <v>0</v>
      </c>
    </row>
    <row r="143" spans="1:12" ht="31.5">
      <c r="A143" s="533"/>
      <c r="B143" s="270"/>
      <c r="C143" s="270"/>
      <c r="D143" s="270"/>
      <c r="E143" s="270"/>
      <c r="F143" s="270"/>
      <c r="G143" s="533"/>
      <c r="H143" s="21">
        <v>423599</v>
      </c>
      <c r="I143" s="22" t="s">
        <v>261</v>
      </c>
      <c r="J143" s="237">
        <v>150000</v>
      </c>
      <c r="K143" s="23"/>
      <c r="L143" s="230">
        <f t="shared" si="1"/>
        <v>150000</v>
      </c>
    </row>
    <row r="144" spans="1:12" ht="30.75" hidden="1">
      <c r="A144" s="533"/>
      <c r="B144" s="270"/>
      <c r="C144" s="270"/>
      <c r="D144" s="270"/>
      <c r="E144" s="270"/>
      <c r="F144" s="270"/>
      <c r="G144" s="533"/>
      <c r="H144" s="21">
        <v>423599</v>
      </c>
      <c r="I144" s="22" t="s">
        <v>155</v>
      </c>
      <c r="J144" s="237">
        <v>0</v>
      </c>
      <c r="K144" s="23"/>
      <c r="L144" s="298">
        <f t="shared" si="1"/>
        <v>0</v>
      </c>
    </row>
    <row r="145" spans="1:12" ht="15.75">
      <c r="A145" s="533"/>
      <c r="B145" s="441"/>
      <c r="C145" s="441"/>
      <c r="D145" s="441"/>
      <c r="E145" s="441"/>
      <c r="F145" s="441"/>
      <c r="G145" s="533"/>
      <c r="H145" s="21">
        <v>423599</v>
      </c>
      <c r="I145" s="22" t="s">
        <v>246</v>
      </c>
      <c r="J145" s="237">
        <v>450000</v>
      </c>
      <c r="K145" s="23"/>
      <c r="L145" s="298">
        <f t="shared" si="1"/>
        <v>450000</v>
      </c>
    </row>
    <row r="146" spans="1:12" ht="30.75" hidden="1">
      <c r="A146" s="533"/>
      <c r="B146" s="270"/>
      <c r="C146" s="270"/>
      <c r="D146" s="270"/>
      <c r="E146" s="270"/>
      <c r="F146" s="270"/>
      <c r="G146" s="533"/>
      <c r="H146" s="21">
        <v>423621</v>
      </c>
      <c r="I146" s="22" t="s">
        <v>177</v>
      </c>
      <c r="J146" s="23">
        <v>0</v>
      </c>
      <c r="K146" s="23"/>
      <c r="L146" s="298">
        <f t="shared" si="1"/>
        <v>0</v>
      </c>
    </row>
    <row r="147" spans="1:12" ht="31.5">
      <c r="A147" s="533"/>
      <c r="B147" s="270"/>
      <c r="C147" s="270"/>
      <c r="D147" s="270"/>
      <c r="E147" s="270"/>
      <c r="F147" s="270"/>
      <c r="G147" s="533"/>
      <c r="H147" s="21">
        <v>423621</v>
      </c>
      <c r="I147" s="22" t="s">
        <v>178</v>
      </c>
      <c r="J147" s="23">
        <v>500000</v>
      </c>
      <c r="K147" s="23"/>
      <c r="L147" s="298">
        <f t="shared" si="1"/>
        <v>500000</v>
      </c>
    </row>
    <row r="148" spans="1:12" ht="31.5">
      <c r="A148" s="533"/>
      <c r="B148" s="270"/>
      <c r="C148" s="270"/>
      <c r="D148" s="270"/>
      <c r="E148" s="270"/>
      <c r="F148" s="270"/>
      <c r="G148" s="533"/>
      <c r="H148" s="21">
        <v>423621</v>
      </c>
      <c r="I148" s="22" t="s">
        <v>263</v>
      </c>
      <c r="J148" s="23">
        <v>80000</v>
      </c>
      <c r="K148" s="23"/>
      <c r="L148" s="298">
        <f t="shared" si="1"/>
        <v>80000</v>
      </c>
    </row>
    <row r="149" spans="1:12" ht="31.5">
      <c r="A149" s="533"/>
      <c r="B149" s="490"/>
      <c r="C149" s="490"/>
      <c r="D149" s="490"/>
      <c r="E149" s="490"/>
      <c r="F149" s="490"/>
      <c r="G149" s="533"/>
      <c r="H149" s="21">
        <v>423621</v>
      </c>
      <c r="I149" s="22" t="s">
        <v>262</v>
      </c>
      <c r="J149" s="23">
        <v>50000</v>
      </c>
      <c r="K149" s="23"/>
      <c r="L149" s="298">
        <f t="shared" si="1"/>
        <v>50000</v>
      </c>
    </row>
    <row r="150" spans="1:12" ht="31.5">
      <c r="A150" s="533"/>
      <c r="B150" s="270"/>
      <c r="C150" s="270"/>
      <c r="D150" s="270"/>
      <c r="E150" s="270"/>
      <c r="F150" s="270"/>
      <c r="G150" s="533"/>
      <c r="H150" s="21">
        <v>423712</v>
      </c>
      <c r="I150" s="22" t="s">
        <v>179</v>
      </c>
      <c r="J150" s="23">
        <v>10000</v>
      </c>
      <c r="K150" s="23"/>
      <c r="L150" s="298">
        <f t="shared" si="1"/>
        <v>10000</v>
      </c>
    </row>
    <row r="151" spans="1:12" ht="15.75">
      <c r="A151" s="533"/>
      <c r="B151" s="270"/>
      <c r="C151" s="270"/>
      <c r="D151" s="270"/>
      <c r="E151" s="270"/>
      <c r="F151" s="270"/>
      <c r="G151" s="533"/>
      <c r="H151" s="21">
        <v>423712</v>
      </c>
      <c r="I151" s="22" t="s">
        <v>180</v>
      </c>
      <c r="J151" s="23">
        <v>100000</v>
      </c>
      <c r="K151" s="23"/>
      <c r="L151" s="230">
        <f t="shared" si="1"/>
        <v>100000</v>
      </c>
    </row>
    <row r="152" spans="1:12" ht="31.5">
      <c r="A152" s="533"/>
      <c r="B152" s="270"/>
      <c r="C152" s="270"/>
      <c r="D152" s="270"/>
      <c r="E152" s="270"/>
      <c r="F152" s="270"/>
      <c r="G152" s="533"/>
      <c r="H152" s="21">
        <v>423712</v>
      </c>
      <c r="I152" s="22" t="s">
        <v>181</v>
      </c>
      <c r="J152" s="23">
        <f>102400+20400</f>
        <v>122800</v>
      </c>
      <c r="K152" s="23"/>
      <c r="L152" s="230">
        <f t="shared" si="1"/>
        <v>122800</v>
      </c>
    </row>
    <row r="153" spans="1:12" ht="31.5">
      <c r="A153" s="533"/>
      <c r="B153" s="439"/>
      <c r="C153" s="439"/>
      <c r="D153" s="439"/>
      <c r="E153" s="439"/>
      <c r="F153" s="439"/>
      <c r="G153" s="533"/>
      <c r="H153" s="21">
        <v>423712</v>
      </c>
      <c r="I153" s="22" t="s">
        <v>247</v>
      </c>
      <c r="J153" s="23">
        <v>37600</v>
      </c>
      <c r="K153" s="23"/>
      <c r="L153" s="11">
        <f t="shared" si="1"/>
        <v>37600</v>
      </c>
    </row>
    <row r="154" spans="1:12" ht="31.5">
      <c r="A154" s="533"/>
      <c r="B154" s="270"/>
      <c r="C154" s="270"/>
      <c r="D154" s="270"/>
      <c r="E154" s="270"/>
      <c r="F154" s="270"/>
      <c r="G154" s="533"/>
      <c r="H154" s="21">
        <v>423911</v>
      </c>
      <c r="I154" s="22" t="s">
        <v>182</v>
      </c>
      <c r="J154" s="23">
        <v>800000</v>
      </c>
      <c r="K154" s="23"/>
      <c r="L154" s="230">
        <f t="shared" si="1"/>
        <v>800000</v>
      </c>
    </row>
    <row r="155" spans="1:12" ht="31.5">
      <c r="A155" s="533"/>
      <c r="B155" s="270"/>
      <c r="C155" s="270"/>
      <c r="D155" s="270"/>
      <c r="E155" s="270"/>
      <c r="F155" s="270"/>
      <c r="G155" s="533"/>
      <c r="H155" s="21">
        <v>423911</v>
      </c>
      <c r="I155" s="22" t="s">
        <v>183</v>
      </c>
      <c r="J155" s="23">
        <v>500000</v>
      </c>
      <c r="K155" s="23"/>
      <c r="L155" s="230">
        <f t="shared" si="1"/>
        <v>500000</v>
      </c>
    </row>
    <row r="156" spans="1:12" ht="31.5">
      <c r="A156" s="533"/>
      <c r="B156" s="270"/>
      <c r="C156" s="270"/>
      <c r="D156" s="270"/>
      <c r="E156" s="270"/>
      <c r="F156" s="270"/>
      <c r="G156" s="533"/>
      <c r="H156" s="21">
        <v>423911</v>
      </c>
      <c r="I156" s="22" t="s">
        <v>184</v>
      </c>
      <c r="J156" s="23">
        <v>600000</v>
      </c>
      <c r="K156" s="23"/>
      <c r="L156" s="230">
        <f t="shared" si="1"/>
        <v>600000</v>
      </c>
    </row>
    <row r="157" spans="1:12" ht="15" hidden="1">
      <c r="A157" s="533"/>
      <c r="B157" s="436"/>
      <c r="C157" s="436"/>
      <c r="D157" s="436"/>
      <c r="E157" s="436"/>
      <c r="F157" s="436"/>
      <c r="G157" s="533"/>
      <c r="H157" s="21">
        <v>423911</v>
      </c>
      <c r="I157" s="22" t="s">
        <v>220</v>
      </c>
      <c r="J157" s="23">
        <v>0</v>
      </c>
      <c r="K157" s="23"/>
      <c r="L157" s="11">
        <f t="shared" si="1"/>
        <v>0</v>
      </c>
    </row>
    <row r="158" spans="1:12" ht="31.5">
      <c r="A158" s="533"/>
      <c r="B158" s="438"/>
      <c r="C158" s="438"/>
      <c r="D158" s="438"/>
      <c r="E158" s="438"/>
      <c r="F158" s="438"/>
      <c r="G158" s="533"/>
      <c r="H158" s="21">
        <v>423911</v>
      </c>
      <c r="I158" s="349" t="s">
        <v>222</v>
      </c>
      <c r="J158" s="23">
        <v>750000</v>
      </c>
      <c r="K158" s="23"/>
      <c r="L158" s="11">
        <f t="shared" si="1"/>
        <v>750000</v>
      </c>
    </row>
    <row r="159" spans="1:12" ht="30.75" hidden="1">
      <c r="A159" s="533"/>
      <c r="B159" s="270"/>
      <c r="C159" s="270"/>
      <c r="D159" s="270"/>
      <c r="E159" s="270"/>
      <c r="F159" s="270"/>
      <c r="G159" s="533"/>
      <c r="H159" s="21">
        <v>423911</v>
      </c>
      <c r="I159" s="22" t="s">
        <v>185</v>
      </c>
      <c r="J159" s="23">
        <v>0</v>
      </c>
      <c r="K159" s="23"/>
      <c r="L159" s="11">
        <f t="shared" si="1"/>
        <v>0</v>
      </c>
    </row>
    <row r="160" spans="1:12" ht="32.25" thickBot="1">
      <c r="A160" s="534"/>
      <c r="B160" s="37"/>
      <c r="C160" s="37"/>
      <c r="D160" s="37"/>
      <c r="E160" s="37"/>
      <c r="F160" s="37"/>
      <c r="G160" s="534"/>
      <c r="H160" s="203">
        <v>423911</v>
      </c>
      <c r="I160" s="265" t="s">
        <v>186</v>
      </c>
      <c r="J160" s="23">
        <v>300000</v>
      </c>
      <c r="K160" s="23"/>
      <c r="L160" s="264">
        <f t="shared" si="1"/>
        <v>300000</v>
      </c>
    </row>
    <row r="161" spans="1:12" ht="16.5" thickBot="1">
      <c r="A161" s="532">
        <v>3</v>
      </c>
      <c r="B161" s="36"/>
      <c r="C161" s="36"/>
      <c r="D161" s="36"/>
      <c r="E161" s="36"/>
      <c r="F161" s="36"/>
      <c r="G161" s="532">
        <v>240</v>
      </c>
      <c r="H161" s="318">
        <v>424</v>
      </c>
      <c r="I161" s="319" t="s">
        <v>25</v>
      </c>
      <c r="J161" s="15">
        <f>SUM(J162:J175)</f>
        <v>7836600</v>
      </c>
      <c r="K161" s="15">
        <f>SUM(K162:K175)</f>
        <v>30000</v>
      </c>
      <c r="L161" s="15">
        <f>SUM(L163:L175)</f>
        <v>7866600</v>
      </c>
    </row>
    <row r="162" spans="1:12" ht="30.75" hidden="1">
      <c r="A162" s="533"/>
      <c r="B162" s="42"/>
      <c r="C162" s="42"/>
      <c r="D162" s="42"/>
      <c r="E162" s="42"/>
      <c r="F162" s="42"/>
      <c r="G162" s="533"/>
      <c r="H162" s="56">
        <v>424221</v>
      </c>
      <c r="I162" s="489" t="s">
        <v>187</v>
      </c>
      <c r="J162" s="462">
        <v>0</v>
      </c>
      <c r="K162" s="23"/>
      <c r="L162" s="58">
        <f t="shared" si="1"/>
        <v>0</v>
      </c>
    </row>
    <row r="163" spans="1:12" ht="31.5">
      <c r="A163" s="270"/>
      <c r="B163" s="270"/>
      <c r="C163" s="270"/>
      <c r="D163" s="270"/>
      <c r="E163" s="270"/>
      <c r="F163" s="270"/>
      <c r="G163" s="270"/>
      <c r="H163" s="17">
        <v>424221</v>
      </c>
      <c r="I163" s="320" t="s">
        <v>188</v>
      </c>
      <c r="J163" s="466">
        <f>150000+86600</f>
        <v>236600</v>
      </c>
      <c r="K163" s="23"/>
      <c r="L163" s="298">
        <f t="shared" si="1"/>
        <v>236600</v>
      </c>
    </row>
    <row r="164" spans="1:12" ht="31.5">
      <c r="A164" s="270"/>
      <c r="B164" s="270"/>
      <c r="C164" s="270"/>
      <c r="D164" s="270"/>
      <c r="E164" s="270"/>
      <c r="F164" s="270"/>
      <c r="G164" s="270"/>
      <c r="H164" s="21">
        <v>424221</v>
      </c>
      <c r="I164" s="55" t="s">
        <v>189</v>
      </c>
      <c r="J164" s="466">
        <v>100000</v>
      </c>
      <c r="K164" s="23"/>
      <c r="L164" s="230">
        <f t="shared" si="1"/>
        <v>100000</v>
      </c>
    </row>
    <row r="165" spans="1:12" ht="15.75">
      <c r="A165" s="464"/>
      <c r="B165" s="464"/>
      <c r="C165" s="464"/>
      <c r="D165" s="464"/>
      <c r="E165" s="464"/>
      <c r="F165" s="464"/>
      <c r="G165" s="464"/>
      <c r="H165" s="21">
        <v>424221</v>
      </c>
      <c r="I165" s="55" t="s">
        <v>230</v>
      </c>
      <c r="J165" s="466">
        <v>250000</v>
      </c>
      <c r="K165" s="23"/>
      <c r="L165" s="230">
        <f t="shared" si="1"/>
        <v>250000</v>
      </c>
    </row>
    <row r="166" spans="1:12" ht="31.5">
      <c r="A166" s="270"/>
      <c r="B166" s="270"/>
      <c r="C166" s="270"/>
      <c r="D166" s="270"/>
      <c r="E166" s="270"/>
      <c r="F166" s="270"/>
      <c r="G166" s="270"/>
      <c r="H166" s="21">
        <v>424221</v>
      </c>
      <c r="I166" s="55" t="s">
        <v>190</v>
      </c>
      <c r="J166" s="466">
        <v>100000</v>
      </c>
      <c r="K166" s="23"/>
      <c r="L166" s="230">
        <f t="shared" si="1"/>
        <v>100000</v>
      </c>
    </row>
    <row r="167" spans="1:12" ht="15.75">
      <c r="A167" s="270"/>
      <c r="B167" s="270"/>
      <c r="C167" s="270"/>
      <c r="D167" s="270"/>
      <c r="E167" s="270"/>
      <c r="F167" s="270"/>
      <c r="G167" s="270"/>
      <c r="H167" s="21">
        <v>424221</v>
      </c>
      <c r="I167" s="204" t="s">
        <v>191</v>
      </c>
      <c r="J167" s="466">
        <v>500000</v>
      </c>
      <c r="K167" s="23"/>
      <c r="L167" s="230">
        <f t="shared" si="1"/>
        <v>500000</v>
      </c>
    </row>
    <row r="168" spans="1:12" ht="30.75" hidden="1">
      <c r="A168" s="439"/>
      <c r="B168" s="439"/>
      <c r="C168" s="439"/>
      <c r="D168" s="439"/>
      <c r="E168" s="439"/>
      <c r="F168" s="439"/>
      <c r="G168" s="439"/>
      <c r="H168" s="21">
        <v>424221</v>
      </c>
      <c r="I168" s="204" t="s">
        <v>223</v>
      </c>
      <c r="J168" s="463">
        <v>0</v>
      </c>
      <c r="K168" s="23"/>
      <c r="L168" s="298">
        <f t="shared" si="1"/>
        <v>0</v>
      </c>
    </row>
    <row r="169" spans="1:12" ht="15" hidden="1">
      <c r="A169" s="441"/>
      <c r="B169" s="441"/>
      <c r="C169" s="441"/>
      <c r="D169" s="441"/>
      <c r="E169" s="441"/>
      <c r="F169" s="441"/>
      <c r="G169" s="441"/>
      <c r="H169" s="21">
        <v>424221</v>
      </c>
      <c r="I169" s="204" t="s">
        <v>224</v>
      </c>
      <c r="J169" s="463">
        <v>0</v>
      </c>
      <c r="K169" s="23"/>
      <c r="L169" s="230">
        <f t="shared" si="1"/>
        <v>0</v>
      </c>
    </row>
    <row r="170" spans="1:12" ht="31.5">
      <c r="A170" s="441"/>
      <c r="B170" s="441"/>
      <c r="C170" s="441"/>
      <c r="D170" s="441"/>
      <c r="E170" s="441"/>
      <c r="F170" s="441"/>
      <c r="G170" s="441"/>
      <c r="H170" s="21">
        <v>424221</v>
      </c>
      <c r="I170" s="204" t="s">
        <v>266</v>
      </c>
      <c r="J170" s="466">
        <v>500000</v>
      </c>
      <c r="K170" s="23"/>
      <c r="L170" s="299">
        <f t="shared" si="1"/>
        <v>500000</v>
      </c>
    </row>
    <row r="171" spans="1:12" ht="15.75">
      <c r="A171" s="270"/>
      <c r="B171" s="270"/>
      <c r="C171" s="270"/>
      <c r="D171" s="270"/>
      <c r="E171" s="270"/>
      <c r="F171" s="270"/>
      <c r="G171" s="270"/>
      <c r="H171" s="21">
        <v>424221</v>
      </c>
      <c r="I171" s="204" t="s">
        <v>192</v>
      </c>
      <c r="J171" s="466">
        <v>2500000</v>
      </c>
      <c r="K171" s="23"/>
      <c r="L171" s="230">
        <f t="shared" si="1"/>
        <v>2500000</v>
      </c>
    </row>
    <row r="172" spans="1:12" ht="15.75">
      <c r="A172" s="211"/>
      <c r="B172" s="211"/>
      <c r="C172" s="211"/>
      <c r="D172" s="211"/>
      <c r="E172" s="211"/>
      <c r="F172" s="211"/>
      <c r="G172" s="211"/>
      <c r="H172" s="193">
        <v>424221</v>
      </c>
      <c r="I172" s="305" t="s">
        <v>213</v>
      </c>
      <c r="J172" s="467">
        <v>3000000</v>
      </c>
      <c r="K172" s="100"/>
      <c r="L172" s="11">
        <f t="shared" si="1"/>
        <v>3000000</v>
      </c>
    </row>
    <row r="173" spans="1:12" ht="15.75">
      <c r="A173" s="482"/>
      <c r="B173" s="482"/>
      <c r="C173" s="482"/>
      <c r="D173" s="482"/>
      <c r="E173" s="482"/>
      <c r="F173" s="482"/>
      <c r="G173" s="482"/>
      <c r="H173" s="193">
        <v>424351</v>
      </c>
      <c r="I173" s="305" t="s">
        <v>249</v>
      </c>
      <c r="J173" s="488">
        <v>150000</v>
      </c>
      <c r="K173" s="230"/>
      <c r="L173" s="298">
        <f t="shared" si="1"/>
        <v>150000</v>
      </c>
    </row>
    <row r="174" spans="1:12" ht="63">
      <c r="A174" s="484"/>
      <c r="B174" s="484"/>
      <c r="C174" s="484"/>
      <c r="D174" s="484"/>
      <c r="E174" s="484"/>
      <c r="F174" s="484"/>
      <c r="G174" s="484"/>
      <c r="H174" s="193">
        <v>424911</v>
      </c>
      <c r="I174" s="305" t="s">
        <v>251</v>
      </c>
      <c r="J174" s="488"/>
      <c r="K174" s="11">
        <v>30000</v>
      </c>
      <c r="L174" s="298">
        <f t="shared" si="1"/>
        <v>30000</v>
      </c>
    </row>
    <row r="175" spans="1:12" ht="48" thickBot="1">
      <c r="A175" s="482"/>
      <c r="B175" s="482"/>
      <c r="C175" s="482"/>
      <c r="D175" s="482"/>
      <c r="E175" s="482"/>
      <c r="F175" s="482"/>
      <c r="G175" s="482"/>
      <c r="H175" s="203">
        <v>424911</v>
      </c>
      <c r="I175" s="10" t="s">
        <v>250</v>
      </c>
      <c r="J175" s="361">
        <v>500000</v>
      </c>
      <c r="K175" s="264"/>
      <c r="L175" s="264">
        <f t="shared" si="1"/>
        <v>500000</v>
      </c>
    </row>
    <row r="176" spans="1:12" ht="16.5" thickBot="1">
      <c r="A176" s="532">
        <v>4</v>
      </c>
      <c r="B176" s="36"/>
      <c r="C176" s="36"/>
      <c r="D176" s="36"/>
      <c r="E176" s="36"/>
      <c r="F176" s="36"/>
      <c r="G176" s="532">
        <v>241</v>
      </c>
      <c r="H176" s="13">
        <v>426</v>
      </c>
      <c r="I176" s="205" t="s">
        <v>12</v>
      </c>
      <c r="J176" s="219">
        <f>SUM(J177:J201)</f>
        <v>1510000</v>
      </c>
      <c r="K176" s="219">
        <f>SUM(K178:K201)</f>
        <v>475750</v>
      </c>
      <c r="L176" s="217">
        <f>SUM(L178:L201)</f>
        <v>1985750</v>
      </c>
    </row>
    <row r="177" spans="1:12" ht="30.75" hidden="1">
      <c r="A177" s="533"/>
      <c r="B177" s="270"/>
      <c r="C177" s="270"/>
      <c r="D177" s="270"/>
      <c r="E177" s="270"/>
      <c r="F177" s="270"/>
      <c r="G177" s="533"/>
      <c r="H177" s="201">
        <v>426411</v>
      </c>
      <c r="I177" s="320" t="s">
        <v>78</v>
      </c>
      <c r="J177" s="261">
        <v>0</v>
      </c>
      <c r="K177" s="261"/>
      <c r="L177" s="11">
        <f aca="true" t="shared" si="2" ref="L177:L197">J177+K177</f>
        <v>0</v>
      </c>
    </row>
    <row r="178" spans="1:12" ht="31.5">
      <c r="A178" s="533"/>
      <c r="B178" s="270"/>
      <c r="C178" s="270"/>
      <c r="D178" s="270"/>
      <c r="E178" s="270"/>
      <c r="F178" s="270"/>
      <c r="G178" s="533"/>
      <c r="H178" s="21">
        <v>426411</v>
      </c>
      <c r="I178" s="317" t="s">
        <v>194</v>
      </c>
      <c r="J178" s="281">
        <v>40000</v>
      </c>
      <c r="K178" s="281"/>
      <c r="L178" s="298">
        <f t="shared" si="2"/>
        <v>40000</v>
      </c>
    </row>
    <row r="179" spans="1:12" ht="47.25">
      <c r="A179" s="533"/>
      <c r="B179" s="270"/>
      <c r="C179" s="270"/>
      <c r="D179" s="270"/>
      <c r="E179" s="270"/>
      <c r="F179" s="270"/>
      <c r="G179" s="533"/>
      <c r="H179" s="21">
        <v>426411</v>
      </c>
      <c r="I179" s="305" t="s">
        <v>267</v>
      </c>
      <c r="J179" s="23">
        <v>70000</v>
      </c>
      <c r="K179" s="23"/>
      <c r="L179" s="230">
        <f t="shared" si="2"/>
        <v>70000</v>
      </c>
    </row>
    <row r="180" spans="1:12" ht="31.5">
      <c r="A180" s="533"/>
      <c r="B180" s="482"/>
      <c r="C180" s="482"/>
      <c r="D180" s="482"/>
      <c r="E180" s="482"/>
      <c r="F180" s="482"/>
      <c r="G180" s="533"/>
      <c r="H180" s="21">
        <v>426621</v>
      </c>
      <c r="I180" s="22" t="s">
        <v>264</v>
      </c>
      <c r="J180" s="23">
        <v>100000</v>
      </c>
      <c r="K180" s="23"/>
      <c r="L180" s="230">
        <f t="shared" si="2"/>
        <v>100000</v>
      </c>
    </row>
    <row r="181" spans="1:12" ht="47.25">
      <c r="A181" s="533"/>
      <c r="B181" s="484"/>
      <c r="C181" s="484"/>
      <c r="D181" s="484"/>
      <c r="E181" s="484"/>
      <c r="F181" s="484"/>
      <c r="G181" s="533"/>
      <c r="H181" s="21">
        <v>426621</v>
      </c>
      <c r="I181" s="22" t="s">
        <v>265</v>
      </c>
      <c r="J181" s="23"/>
      <c r="K181" s="23">
        <f>355750-100000</f>
        <v>255750</v>
      </c>
      <c r="L181" s="230">
        <f t="shared" si="2"/>
        <v>255750</v>
      </c>
    </row>
    <row r="182" spans="1:12" ht="31.5">
      <c r="A182" s="533"/>
      <c r="B182" s="270"/>
      <c r="C182" s="270"/>
      <c r="D182" s="270"/>
      <c r="E182" s="270"/>
      <c r="F182" s="270"/>
      <c r="G182" s="533"/>
      <c r="H182" s="21">
        <v>426821</v>
      </c>
      <c r="I182" s="22" t="s">
        <v>195</v>
      </c>
      <c r="J182" s="23">
        <v>300000</v>
      </c>
      <c r="K182" s="23"/>
      <c r="L182" s="11">
        <f t="shared" si="2"/>
        <v>300000</v>
      </c>
    </row>
    <row r="183" spans="1:12" ht="31.5">
      <c r="A183" s="533"/>
      <c r="B183" s="270"/>
      <c r="C183" s="270"/>
      <c r="D183" s="270"/>
      <c r="E183" s="270"/>
      <c r="F183" s="270"/>
      <c r="G183" s="533"/>
      <c r="H183" s="21">
        <v>426821</v>
      </c>
      <c r="I183" s="99" t="s">
        <v>196</v>
      </c>
      <c r="J183" s="23">
        <f>50000+300000</f>
        <v>350000</v>
      </c>
      <c r="K183" s="23"/>
      <c r="L183" s="298">
        <f t="shared" si="2"/>
        <v>350000</v>
      </c>
    </row>
    <row r="184" spans="1:12" ht="15.75">
      <c r="A184" s="533"/>
      <c r="B184" s="270"/>
      <c r="C184" s="270"/>
      <c r="D184" s="270"/>
      <c r="E184" s="270"/>
      <c r="F184" s="270"/>
      <c r="G184" s="533"/>
      <c r="H184" s="21">
        <v>426821</v>
      </c>
      <c r="I184" s="322" t="s">
        <v>156</v>
      </c>
      <c r="J184" s="23">
        <v>50000</v>
      </c>
      <c r="K184" s="23"/>
      <c r="L184" s="298">
        <f t="shared" si="2"/>
        <v>50000</v>
      </c>
    </row>
    <row r="185" spans="1:12" ht="15.75">
      <c r="A185" s="533"/>
      <c r="B185" s="496"/>
      <c r="C185" s="496"/>
      <c r="D185" s="496"/>
      <c r="E185" s="496"/>
      <c r="F185" s="496"/>
      <c r="G185" s="533"/>
      <c r="H185" s="21">
        <v>426821</v>
      </c>
      <c r="I185" s="322" t="s">
        <v>288</v>
      </c>
      <c r="J185" s="23"/>
      <c r="K185" s="23">
        <v>60000</v>
      </c>
      <c r="L185" s="230">
        <f t="shared" si="1"/>
        <v>60000</v>
      </c>
    </row>
    <row r="186" spans="1:12" ht="31.5">
      <c r="A186" s="533"/>
      <c r="B186" s="270"/>
      <c r="C186" s="270"/>
      <c r="D186" s="270"/>
      <c r="E186" s="270"/>
      <c r="F186" s="270"/>
      <c r="G186" s="533"/>
      <c r="H186" s="21">
        <v>426821</v>
      </c>
      <c r="I186" s="317" t="s">
        <v>197</v>
      </c>
      <c r="J186" s="23">
        <v>50000</v>
      </c>
      <c r="K186" s="23"/>
      <c r="L186" s="230">
        <f t="shared" si="2"/>
        <v>50000</v>
      </c>
    </row>
    <row r="187" spans="1:12" ht="15.75">
      <c r="A187" s="533"/>
      <c r="B187" s="270"/>
      <c r="C187" s="270"/>
      <c r="D187" s="270"/>
      <c r="E187" s="270"/>
      <c r="F187" s="270"/>
      <c r="G187" s="533"/>
      <c r="H187" s="21">
        <v>426821</v>
      </c>
      <c r="I187" s="322" t="s">
        <v>199</v>
      </c>
      <c r="J187" s="23">
        <v>52600</v>
      </c>
      <c r="K187" s="23"/>
      <c r="L187" s="230">
        <f t="shared" si="2"/>
        <v>52600</v>
      </c>
    </row>
    <row r="188" spans="1:12" ht="15.75">
      <c r="A188" s="533"/>
      <c r="B188" s="270"/>
      <c r="C188" s="270"/>
      <c r="D188" s="270"/>
      <c r="E188" s="270"/>
      <c r="F188" s="270"/>
      <c r="G188" s="533"/>
      <c r="H188" s="21">
        <v>426821</v>
      </c>
      <c r="I188" s="322" t="s">
        <v>200</v>
      </c>
      <c r="J188" s="23">
        <v>70000</v>
      </c>
      <c r="K188" s="23"/>
      <c r="L188" s="230">
        <f t="shared" si="2"/>
        <v>70000</v>
      </c>
    </row>
    <row r="189" spans="1:12" ht="31.5">
      <c r="A189" s="533"/>
      <c r="B189" s="270"/>
      <c r="C189" s="270"/>
      <c r="D189" s="270"/>
      <c r="E189" s="270"/>
      <c r="F189" s="270"/>
      <c r="G189" s="533"/>
      <c r="H189" s="21">
        <v>426821</v>
      </c>
      <c r="I189" s="322" t="s">
        <v>198</v>
      </c>
      <c r="J189" s="23">
        <v>20000</v>
      </c>
      <c r="K189" s="23"/>
      <c r="L189" s="11">
        <f t="shared" si="2"/>
        <v>20000</v>
      </c>
    </row>
    <row r="190" spans="1:12" ht="31.5">
      <c r="A190" s="533"/>
      <c r="B190" s="270"/>
      <c r="C190" s="270"/>
      <c r="D190" s="270"/>
      <c r="E190" s="270"/>
      <c r="F190" s="270"/>
      <c r="G190" s="533"/>
      <c r="H190" s="21">
        <v>426821</v>
      </c>
      <c r="I190" s="322" t="s">
        <v>231</v>
      </c>
      <c r="J190" s="23">
        <v>40000</v>
      </c>
      <c r="K190" s="23"/>
      <c r="L190" s="230">
        <f t="shared" si="2"/>
        <v>40000</v>
      </c>
    </row>
    <row r="191" spans="1:12" ht="31.5">
      <c r="A191" s="533"/>
      <c r="B191" s="270"/>
      <c r="C191" s="270"/>
      <c r="D191" s="270"/>
      <c r="E191" s="270"/>
      <c r="F191" s="270"/>
      <c r="G191" s="533"/>
      <c r="H191" s="21">
        <v>426821</v>
      </c>
      <c r="I191" s="322" t="s">
        <v>201</v>
      </c>
      <c r="J191" s="23">
        <v>27400</v>
      </c>
      <c r="K191" s="23"/>
      <c r="L191" s="230">
        <f t="shared" si="2"/>
        <v>27400</v>
      </c>
    </row>
    <row r="192" spans="1:12" ht="31.5">
      <c r="A192" s="533"/>
      <c r="B192" s="270"/>
      <c r="C192" s="270"/>
      <c r="D192" s="270"/>
      <c r="E192" s="270"/>
      <c r="F192" s="270"/>
      <c r="G192" s="533"/>
      <c r="H192" s="21">
        <v>426822</v>
      </c>
      <c r="I192" s="22" t="s">
        <v>202</v>
      </c>
      <c r="J192" s="23">
        <v>150000</v>
      </c>
      <c r="K192" s="23"/>
      <c r="L192" s="230">
        <f t="shared" si="2"/>
        <v>150000</v>
      </c>
    </row>
    <row r="193" spans="1:12" ht="31.5">
      <c r="A193" s="533"/>
      <c r="B193" s="270"/>
      <c r="C193" s="270"/>
      <c r="D193" s="270"/>
      <c r="E193" s="270"/>
      <c r="F193" s="270"/>
      <c r="G193" s="533"/>
      <c r="H193" s="21">
        <v>426822</v>
      </c>
      <c r="I193" s="99" t="s">
        <v>203</v>
      </c>
      <c r="J193" s="23">
        <f>10000+60000</f>
        <v>70000</v>
      </c>
      <c r="K193" s="23"/>
      <c r="L193" s="230">
        <f t="shared" si="2"/>
        <v>70000</v>
      </c>
    </row>
    <row r="194" spans="1:12" ht="31.5">
      <c r="A194" s="533"/>
      <c r="B194" s="270"/>
      <c r="C194" s="270"/>
      <c r="D194" s="270"/>
      <c r="E194" s="270"/>
      <c r="F194" s="270"/>
      <c r="G194" s="533"/>
      <c r="H194" s="21">
        <v>426822</v>
      </c>
      <c r="I194" s="322" t="s">
        <v>204</v>
      </c>
      <c r="J194" s="23">
        <v>20000</v>
      </c>
      <c r="K194" s="23"/>
      <c r="L194" s="230">
        <f t="shared" si="2"/>
        <v>20000</v>
      </c>
    </row>
    <row r="195" spans="1:12" ht="15.75">
      <c r="A195" s="533"/>
      <c r="B195" s="348"/>
      <c r="C195" s="348"/>
      <c r="D195" s="348"/>
      <c r="E195" s="348"/>
      <c r="F195" s="348"/>
      <c r="G195" s="533"/>
      <c r="H195" s="21">
        <v>426822</v>
      </c>
      <c r="I195" s="321" t="s">
        <v>216</v>
      </c>
      <c r="J195" s="23">
        <v>20000</v>
      </c>
      <c r="K195" s="23"/>
      <c r="L195" s="11">
        <f t="shared" si="2"/>
        <v>20000</v>
      </c>
    </row>
    <row r="196" spans="1:12" ht="31.5">
      <c r="A196" s="533"/>
      <c r="B196" s="270"/>
      <c r="C196" s="270"/>
      <c r="D196" s="270"/>
      <c r="E196" s="270"/>
      <c r="F196" s="270"/>
      <c r="G196" s="533"/>
      <c r="H196" s="21">
        <v>426822</v>
      </c>
      <c r="I196" s="321" t="s">
        <v>205</v>
      </c>
      <c r="J196" s="23">
        <v>20000</v>
      </c>
      <c r="K196" s="23"/>
      <c r="L196" s="230">
        <f t="shared" si="2"/>
        <v>20000</v>
      </c>
    </row>
    <row r="197" spans="1:12" ht="15.75">
      <c r="A197" s="533"/>
      <c r="B197" s="270"/>
      <c r="C197" s="270"/>
      <c r="D197" s="270"/>
      <c r="E197" s="270"/>
      <c r="F197" s="270"/>
      <c r="G197" s="533"/>
      <c r="H197" s="21">
        <v>426822</v>
      </c>
      <c r="I197" s="317" t="s">
        <v>206</v>
      </c>
      <c r="J197" s="23">
        <v>40000</v>
      </c>
      <c r="K197" s="23"/>
      <c r="L197" s="230">
        <f t="shared" si="2"/>
        <v>40000</v>
      </c>
    </row>
    <row r="198" spans="1:12" ht="15.75">
      <c r="A198" s="533"/>
      <c r="B198" s="484"/>
      <c r="C198" s="484"/>
      <c r="D198" s="484"/>
      <c r="E198" s="484"/>
      <c r="F198" s="484"/>
      <c r="G198" s="533"/>
      <c r="H198" s="21">
        <v>426822</v>
      </c>
      <c r="I198" s="322" t="s">
        <v>207</v>
      </c>
      <c r="J198" s="23">
        <v>15000</v>
      </c>
      <c r="K198" s="23"/>
      <c r="L198" s="230">
        <f t="shared" si="1"/>
        <v>15000</v>
      </c>
    </row>
    <row r="199" spans="1:12" ht="15.75">
      <c r="A199" s="496"/>
      <c r="B199" s="496"/>
      <c r="C199" s="496"/>
      <c r="D199" s="496"/>
      <c r="E199" s="496"/>
      <c r="F199" s="496"/>
      <c r="G199" s="497"/>
      <c r="H199" s="21">
        <v>426822</v>
      </c>
      <c r="I199" s="322" t="s">
        <v>287</v>
      </c>
      <c r="J199" s="230"/>
      <c r="K199" s="11">
        <v>40000</v>
      </c>
      <c r="L199" s="230">
        <f t="shared" si="1"/>
        <v>40000</v>
      </c>
    </row>
    <row r="200" spans="1:12" ht="31.5">
      <c r="A200" s="496"/>
      <c r="B200" s="496"/>
      <c r="C200" s="496"/>
      <c r="D200" s="496"/>
      <c r="E200" s="496"/>
      <c r="F200" s="496"/>
      <c r="G200" s="497"/>
      <c r="H200" s="21">
        <v>426911</v>
      </c>
      <c r="I200" s="322" t="s">
        <v>296</v>
      </c>
      <c r="J200" s="230"/>
      <c r="K200" s="230">
        <v>120000</v>
      </c>
      <c r="L200" s="230">
        <f t="shared" si="1"/>
        <v>120000</v>
      </c>
    </row>
    <row r="201" spans="1:12" ht="16.5" thickBot="1">
      <c r="A201" s="485"/>
      <c r="B201" s="485"/>
      <c r="C201" s="485"/>
      <c r="D201" s="485"/>
      <c r="E201" s="485"/>
      <c r="F201" s="485"/>
      <c r="G201" s="483"/>
      <c r="H201" s="177">
        <v>426913</v>
      </c>
      <c r="I201" s="487" t="s">
        <v>248</v>
      </c>
      <c r="J201" s="11">
        <f>15000-10000</f>
        <v>5000</v>
      </c>
      <c r="K201" s="264"/>
      <c r="L201" s="264">
        <f t="shared" si="1"/>
        <v>5000</v>
      </c>
    </row>
    <row r="202" spans="1:12" ht="16.5" customHeight="1">
      <c r="A202" s="496"/>
      <c r="B202" s="497"/>
      <c r="C202" s="497"/>
      <c r="D202" s="497"/>
      <c r="E202" s="497"/>
      <c r="F202" s="497"/>
      <c r="G202" s="497"/>
      <c r="H202" s="275" t="s">
        <v>278</v>
      </c>
      <c r="I202" s="10" t="s">
        <v>279</v>
      </c>
      <c r="J202" s="261">
        <f>+J120+J123+J128+J161+J176-137000</f>
        <v>16711000</v>
      </c>
      <c r="K202" s="11">
        <v>0</v>
      </c>
      <c r="L202" s="298">
        <f>SUM(J202+K202)</f>
        <v>16711000</v>
      </c>
    </row>
    <row r="203" spans="1:12" ht="16.5" customHeight="1">
      <c r="A203" s="496"/>
      <c r="B203" s="497"/>
      <c r="C203" s="497"/>
      <c r="D203" s="497"/>
      <c r="E203" s="497"/>
      <c r="F203" s="497"/>
      <c r="G203" s="497"/>
      <c r="H203" s="433" t="s">
        <v>280</v>
      </c>
      <c r="I203" s="10" t="s">
        <v>281</v>
      </c>
      <c r="J203" s="299">
        <v>0</v>
      </c>
      <c r="K203" s="299">
        <f>+K176+K161</f>
        <v>505750</v>
      </c>
      <c r="L203" s="299">
        <f>SUM(J203+K203)</f>
        <v>505750</v>
      </c>
    </row>
    <row r="204" spans="1:12" ht="16.5" customHeight="1">
      <c r="A204" s="496"/>
      <c r="B204" s="497"/>
      <c r="C204" s="497"/>
      <c r="D204" s="497"/>
      <c r="E204" s="497"/>
      <c r="F204" s="497"/>
      <c r="G204" s="497"/>
      <c r="H204" s="433" t="s">
        <v>282</v>
      </c>
      <c r="I204" s="10" t="s">
        <v>283</v>
      </c>
      <c r="J204" s="299">
        <f>20400+30000+86600</f>
        <v>137000</v>
      </c>
      <c r="K204" s="299">
        <f>+K120</f>
        <v>0</v>
      </c>
      <c r="L204" s="299">
        <f>SUM(J204+K204)</f>
        <v>137000</v>
      </c>
    </row>
    <row r="205" spans="1:12" ht="16.5" customHeight="1" thickBot="1">
      <c r="A205" s="496"/>
      <c r="B205" s="497"/>
      <c r="C205" s="497"/>
      <c r="D205" s="497"/>
      <c r="E205" s="497"/>
      <c r="F205" s="497"/>
      <c r="G205" s="497"/>
      <c r="H205" s="498" t="s">
        <v>284</v>
      </c>
      <c r="I205" s="7" t="s">
        <v>285</v>
      </c>
      <c r="J205" s="8">
        <v>0</v>
      </c>
      <c r="K205" s="8">
        <f>+K130+K201</f>
        <v>0</v>
      </c>
      <c r="L205" s="344">
        <f>SUM(J205+K205)</f>
        <v>0</v>
      </c>
    </row>
    <row r="206" spans="1:12" ht="16.5" thickBot="1">
      <c r="A206" s="53"/>
      <c r="B206" s="62"/>
      <c r="C206" s="62"/>
      <c r="D206" s="62"/>
      <c r="E206" s="62"/>
      <c r="F206" s="62"/>
      <c r="G206" s="54"/>
      <c r="H206" s="210"/>
      <c r="I206" s="14" t="s">
        <v>18</v>
      </c>
      <c r="J206" s="15">
        <f>SUM(J120+J123+J128+J161+J176)</f>
        <v>16848000</v>
      </c>
      <c r="K206" s="15">
        <f>SUM(K120+K128+K161+K176)</f>
        <v>505750</v>
      </c>
      <c r="L206" s="15">
        <f>SUM(L120+L123+L128+L161+L176)</f>
        <v>17353750</v>
      </c>
    </row>
    <row r="207" spans="1:12" ht="15" hidden="1">
      <c r="A207" s="76"/>
      <c r="B207" s="76"/>
      <c r="C207" s="76"/>
      <c r="D207" s="76"/>
      <c r="E207" s="76"/>
      <c r="F207" s="76"/>
      <c r="G207" s="77"/>
      <c r="H207" s="209"/>
      <c r="I207" s="78"/>
      <c r="J207" s="79"/>
      <c r="K207" s="79"/>
      <c r="L207" s="79"/>
    </row>
    <row r="208" spans="8:12" ht="15" customHeight="1" hidden="1">
      <c r="H208" s="76"/>
      <c r="I208" s="76"/>
      <c r="J208" s="76"/>
      <c r="K208" s="76"/>
      <c r="L208" s="76"/>
    </row>
    <row r="209" spans="1:12" ht="15" customHeight="1" hidden="1">
      <c r="A209" s="511" t="s">
        <v>94</v>
      </c>
      <c r="B209" s="511"/>
      <c r="C209" s="511"/>
      <c r="D209" s="511"/>
      <c r="E209" s="511"/>
      <c r="F209" s="511"/>
      <c r="G209" s="511"/>
      <c r="H209" s="511"/>
      <c r="I209" s="511"/>
      <c r="J209" s="511"/>
      <c r="K209" s="511"/>
      <c r="L209" s="511"/>
    </row>
    <row r="210" spans="1:12" ht="47.25" customHeight="1" hidden="1" thickBot="1">
      <c r="A210" s="568"/>
      <c r="B210" s="568"/>
      <c r="C210" s="568"/>
      <c r="D210" s="568"/>
      <c r="E210" s="568"/>
      <c r="F210" s="568"/>
      <c r="G210" s="568"/>
      <c r="H210" s="568"/>
      <c r="I210" s="568"/>
      <c r="J210" s="568"/>
      <c r="K210" s="568"/>
      <c r="L210" s="568"/>
    </row>
    <row r="211" spans="1:12" ht="15.75" customHeight="1" hidden="1">
      <c r="A211" s="509" t="s">
        <v>20</v>
      </c>
      <c r="B211" s="535" t="s">
        <v>85</v>
      </c>
      <c r="C211" s="535" t="s">
        <v>86</v>
      </c>
      <c r="D211" s="519" t="s">
        <v>98</v>
      </c>
      <c r="E211" s="522" t="s">
        <v>99</v>
      </c>
      <c r="F211" s="522" t="s">
        <v>91</v>
      </c>
      <c r="G211" s="525" t="s">
        <v>87</v>
      </c>
      <c r="H211" s="525" t="s">
        <v>88</v>
      </c>
      <c r="I211" s="509" t="s">
        <v>0</v>
      </c>
      <c r="J211" s="509" t="s">
        <v>1</v>
      </c>
      <c r="K211" s="509" t="s">
        <v>21</v>
      </c>
      <c r="L211" s="509" t="s">
        <v>22</v>
      </c>
    </row>
    <row r="212" spans="1:12" ht="15.75" customHeight="1" hidden="1" thickBot="1">
      <c r="A212" s="543"/>
      <c r="B212" s="536"/>
      <c r="C212" s="536"/>
      <c r="D212" s="520"/>
      <c r="E212" s="523"/>
      <c r="F212" s="523"/>
      <c r="G212" s="526"/>
      <c r="H212" s="526"/>
      <c r="I212" s="543"/>
      <c r="J212" s="510"/>
      <c r="K212" s="510"/>
      <c r="L212" s="510"/>
    </row>
    <row r="213" spans="1:12" ht="26.25" customHeight="1" hidden="1" thickBot="1">
      <c r="A213" s="510"/>
      <c r="B213" s="544"/>
      <c r="C213" s="544"/>
      <c r="D213" s="521"/>
      <c r="E213" s="524"/>
      <c r="F213" s="524"/>
      <c r="G213" s="527"/>
      <c r="H213" s="527"/>
      <c r="I213" s="510"/>
      <c r="J213" s="33" t="s">
        <v>23</v>
      </c>
      <c r="K213" s="33" t="s">
        <v>24</v>
      </c>
      <c r="L213" s="33"/>
    </row>
    <row r="214" spans="1:12" ht="45" hidden="1" thickBot="1">
      <c r="A214" s="35"/>
      <c r="B214" s="66" t="s">
        <v>232</v>
      </c>
      <c r="C214" s="66" t="s">
        <v>89</v>
      </c>
      <c r="D214" s="465" t="s">
        <v>237</v>
      </c>
      <c r="E214" s="68" t="s">
        <v>100</v>
      </c>
      <c r="F214" s="67" t="s">
        <v>92</v>
      </c>
      <c r="G214" s="73"/>
      <c r="H214" s="74"/>
      <c r="I214" s="72"/>
      <c r="J214" s="33"/>
      <c r="K214" s="33"/>
      <c r="L214" s="33"/>
    </row>
    <row r="215" spans="1:12" ht="15.75" hidden="1" thickBot="1">
      <c r="A215" s="532">
        <v>1</v>
      </c>
      <c r="B215" s="36"/>
      <c r="C215" s="36"/>
      <c r="D215" s="36"/>
      <c r="E215" s="36"/>
      <c r="F215" s="36"/>
      <c r="G215" s="532">
        <v>268</v>
      </c>
      <c r="H215" s="13">
        <v>423</v>
      </c>
      <c r="I215" s="14" t="s">
        <v>7</v>
      </c>
      <c r="J215" s="15">
        <f>SUM(J216:J216)</f>
        <v>0</v>
      </c>
      <c r="K215" s="15">
        <f>SUM(K216:K216)</f>
        <v>0</v>
      </c>
      <c r="L215" s="15">
        <f>SUM(L216:L216)</f>
        <v>0</v>
      </c>
    </row>
    <row r="216" spans="1:12" ht="78" hidden="1" thickBot="1">
      <c r="A216" s="534"/>
      <c r="B216" s="42"/>
      <c r="C216" s="42"/>
      <c r="D216" s="42"/>
      <c r="E216" s="42"/>
      <c r="F216" s="42"/>
      <c r="G216" s="533"/>
      <c r="H216" s="21">
        <v>423712</v>
      </c>
      <c r="I216" s="22" t="s">
        <v>82</v>
      </c>
      <c r="J216" s="23"/>
      <c r="K216" s="23"/>
      <c r="L216" s="30">
        <f>SUM(J216+K216)</f>
        <v>0</v>
      </c>
    </row>
    <row r="217" spans="1:12" ht="15.75" hidden="1" thickBot="1">
      <c r="A217" s="53"/>
      <c r="B217" s="62"/>
      <c r="C217" s="62"/>
      <c r="D217" s="62"/>
      <c r="E217" s="62"/>
      <c r="F217" s="62"/>
      <c r="G217" s="54"/>
      <c r="H217" s="54"/>
      <c r="I217" s="14" t="s">
        <v>18</v>
      </c>
      <c r="J217" s="15">
        <f>+J215</f>
        <v>0</v>
      </c>
      <c r="K217" s="15">
        <f>+K215</f>
        <v>0</v>
      </c>
      <c r="L217" s="15">
        <f>+L215</f>
        <v>0</v>
      </c>
    </row>
    <row r="218" spans="1:12" ht="15.75" customHeight="1">
      <c r="A218" s="572"/>
      <c r="B218" s="572"/>
      <c r="C218" s="572"/>
      <c r="D218" s="572"/>
      <c r="E218" s="572"/>
      <c r="F218" s="572"/>
      <c r="G218" s="572"/>
      <c r="H218" s="572"/>
      <c r="I218" s="572"/>
      <c r="J218" s="572"/>
      <c r="K218" s="572"/>
      <c r="L218" s="572"/>
    </row>
    <row r="219" spans="1:12" ht="15" customHeight="1" hidden="1">
      <c r="A219" s="573"/>
      <c r="B219" s="573"/>
      <c r="C219" s="573"/>
      <c r="D219" s="573"/>
      <c r="E219" s="573"/>
      <c r="F219" s="573"/>
      <c r="G219" s="573"/>
      <c r="H219" s="573"/>
      <c r="I219" s="573"/>
      <c r="J219" s="573"/>
      <c r="K219" s="573"/>
      <c r="L219" s="573"/>
    </row>
    <row r="220" spans="1:12" ht="15" customHeight="1" hidden="1">
      <c r="A220" s="573"/>
      <c r="B220" s="573"/>
      <c r="C220" s="573"/>
      <c r="D220" s="573"/>
      <c r="E220" s="573"/>
      <c r="F220" s="573"/>
      <c r="G220" s="573"/>
      <c r="H220" s="573"/>
      <c r="I220" s="573"/>
      <c r="J220" s="573"/>
      <c r="K220" s="573"/>
      <c r="L220" s="573"/>
    </row>
    <row r="221" ht="14.25" hidden="1"/>
    <row r="222" spans="1:8" ht="15" customHeight="1">
      <c r="A222" s="571" t="s">
        <v>295</v>
      </c>
      <c r="B222" s="571"/>
      <c r="C222" s="571"/>
      <c r="D222" s="571"/>
      <c r="E222" s="571"/>
      <c r="F222" s="571"/>
      <c r="G222" s="571"/>
      <c r="H222" s="571"/>
    </row>
    <row r="223" spans="1:8" ht="15" customHeight="1">
      <c r="A223" s="571"/>
      <c r="B223" s="571"/>
      <c r="C223" s="571"/>
      <c r="D223" s="571"/>
      <c r="E223" s="571"/>
      <c r="F223" s="571"/>
      <c r="G223" s="571"/>
      <c r="H223" s="571"/>
    </row>
    <row r="224" spans="9:12" ht="15">
      <c r="I224" s="511" t="s">
        <v>272</v>
      </c>
      <c r="J224" s="512"/>
      <c r="K224" s="512"/>
      <c r="L224" s="512"/>
    </row>
    <row r="225" spans="9:12" ht="15">
      <c r="I225" s="512"/>
      <c r="J225" s="512"/>
      <c r="K225" s="512"/>
      <c r="L225" s="512"/>
    </row>
    <row r="226" spans="9:12" ht="15">
      <c r="I226" s="512"/>
      <c r="J226" s="512"/>
      <c r="K226" s="512"/>
      <c r="L226" s="512"/>
    </row>
    <row r="227" spans="9:12" ht="15">
      <c r="I227" s="512"/>
      <c r="J227" s="512"/>
      <c r="K227" s="512"/>
      <c r="L227" s="512"/>
    </row>
  </sheetData>
  <sheetProtection/>
  <mergeCells count="89">
    <mergeCell ref="A222:H223"/>
    <mergeCell ref="I224:L227"/>
    <mergeCell ref="A209:L210"/>
    <mergeCell ref="L211:L212"/>
    <mergeCell ref="G215:G216"/>
    <mergeCell ref="J211:J212"/>
    <mergeCell ref="K211:K212"/>
    <mergeCell ref="A215:A216"/>
    <mergeCell ref="H211:H213"/>
    <mergeCell ref="I211:I213"/>
    <mergeCell ref="A218:L220"/>
    <mergeCell ref="D211:D213"/>
    <mergeCell ref="F211:F213"/>
    <mergeCell ref="A211:A213"/>
    <mergeCell ref="G211:G213"/>
    <mergeCell ref="B211:B213"/>
    <mergeCell ref="D11:D13"/>
    <mergeCell ref="E11:E13"/>
    <mergeCell ref="G29:G30"/>
    <mergeCell ref="A1:L5"/>
    <mergeCell ref="A6:L8"/>
    <mergeCell ref="A11:A13"/>
    <mergeCell ref="G11:G13"/>
    <mergeCell ref="H11:H13"/>
    <mergeCell ref="I11:I13"/>
    <mergeCell ref="J11:J12"/>
    <mergeCell ref="L11:L12"/>
    <mergeCell ref="A9:L9"/>
    <mergeCell ref="K11:K12"/>
    <mergeCell ref="B11:B13"/>
    <mergeCell ref="C11:C13"/>
    <mergeCell ref="F11:F13"/>
    <mergeCell ref="D15:D16"/>
    <mergeCell ref="B15:B16"/>
    <mergeCell ref="A29:A30"/>
    <mergeCell ref="A91:A95"/>
    <mergeCell ref="G87:G88"/>
    <mergeCell ref="G15:G16"/>
    <mergeCell ref="G54:G65"/>
    <mergeCell ref="A18:A21"/>
    <mergeCell ref="G18:G21"/>
    <mergeCell ref="G69:G75"/>
    <mergeCell ref="G66:G68"/>
    <mergeCell ref="G50:G53"/>
    <mergeCell ref="A22:A26"/>
    <mergeCell ref="A27:A28"/>
    <mergeCell ref="G22:G26"/>
    <mergeCell ref="C15:C16"/>
    <mergeCell ref="A50:A53"/>
    <mergeCell ref="A76:A86"/>
    <mergeCell ref="A66:A68"/>
    <mergeCell ref="A54:A65"/>
    <mergeCell ref="A69:A75"/>
    <mergeCell ref="A98:A101"/>
    <mergeCell ref="G116:G118"/>
    <mergeCell ref="A113:L115"/>
    <mergeCell ref="L116:L117"/>
    <mergeCell ref="A15:A16"/>
    <mergeCell ref="G27:G28"/>
    <mergeCell ref="G91:G95"/>
    <mergeCell ref="G89:G90"/>
    <mergeCell ref="G98:G101"/>
    <mergeCell ref="G96:G97"/>
    <mergeCell ref="A89:A90"/>
    <mergeCell ref="A87:A88"/>
    <mergeCell ref="A96:A97"/>
    <mergeCell ref="G31:G49"/>
    <mergeCell ref="A31:A49"/>
    <mergeCell ref="G76:G86"/>
    <mergeCell ref="K116:K117"/>
    <mergeCell ref="I116:I118"/>
    <mergeCell ref="H116:H118"/>
    <mergeCell ref="A116:A118"/>
    <mergeCell ref="B116:B118"/>
    <mergeCell ref="C116:C118"/>
    <mergeCell ref="E116:E118"/>
    <mergeCell ref="F116:F118"/>
    <mergeCell ref="D116:D118"/>
    <mergeCell ref="C211:C213"/>
    <mergeCell ref="E211:E213"/>
    <mergeCell ref="J116:J117"/>
    <mergeCell ref="A161:A162"/>
    <mergeCell ref="A128:A160"/>
    <mergeCell ref="G161:G162"/>
    <mergeCell ref="G128:G160"/>
    <mergeCell ref="G176:G198"/>
    <mergeCell ref="A176:A198"/>
    <mergeCell ref="A120:A121"/>
    <mergeCell ref="G120:G121"/>
  </mergeCells>
  <printOptions/>
  <pageMargins left="0.35433070866141736" right="0.11811023622047245" top="0.2362204724409449" bottom="0.15748031496062992" header="0.2755905511811024" footer="0.1574803149606299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63">
      <selection activeCell="L77" sqref="L77"/>
    </sheetView>
  </sheetViews>
  <sheetFormatPr defaultColWidth="9.140625" defaultRowHeight="15"/>
  <cols>
    <col min="1" max="2" width="4.7109375" style="0" customWidth="1"/>
    <col min="3" max="3" width="6.140625" style="0" customWidth="1"/>
    <col min="4" max="4" width="5.7109375" style="0" customWidth="1"/>
    <col min="5" max="5" width="5.00390625" style="0" customWidth="1"/>
    <col min="6" max="6" width="6.28125" style="0" customWidth="1"/>
    <col min="7" max="7" width="40.28125" style="0" customWidth="1"/>
    <col min="8" max="8" width="14.57421875" style="0" customWidth="1"/>
    <col min="9" max="9" width="12.8515625" style="0" customWidth="1"/>
    <col min="10" max="10" width="14.140625" style="0" customWidth="1"/>
    <col min="11" max="11" width="13.8515625" style="0" customWidth="1"/>
    <col min="12" max="12" width="14.8515625" style="0" customWidth="1"/>
  </cols>
  <sheetData>
    <row r="1" spans="1:5" ht="15">
      <c r="A1" s="512"/>
      <c r="B1" s="512"/>
      <c r="C1" s="512"/>
      <c r="D1" s="512"/>
      <c r="E1" s="512"/>
    </row>
    <row r="2" spans="1:5" ht="15.75">
      <c r="A2" s="512"/>
      <c r="B2" s="512"/>
      <c r="C2" s="512"/>
      <c r="D2" s="512"/>
      <c r="E2" s="512"/>
    </row>
    <row r="3" spans="1:5" ht="15.75">
      <c r="A3" s="512"/>
      <c r="B3" s="512"/>
      <c r="C3" s="512"/>
      <c r="D3" s="512"/>
      <c r="E3" s="512"/>
    </row>
    <row r="4" spans="1:5" ht="15.75">
      <c r="A4" s="512"/>
      <c r="B4" s="512"/>
      <c r="C4" s="512"/>
      <c r="D4" s="512"/>
      <c r="E4" s="512"/>
    </row>
    <row r="5" spans="1:5" ht="48" customHeight="1">
      <c r="A5" s="512"/>
      <c r="B5" s="512"/>
      <c r="C5" s="512"/>
      <c r="D5" s="512"/>
      <c r="E5" s="512"/>
    </row>
    <row r="6" spans="1:12" ht="27.75" customHeight="1">
      <c r="A6" s="576" t="s">
        <v>291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</row>
    <row r="8" spans="1:12" ht="54.75" customHeight="1" thickBot="1">
      <c r="A8" s="576"/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</row>
    <row r="9" spans="1:12" ht="32.25" customHeight="1">
      <c r="A9" s="535" t="s">
        <v>85</v>
      </c>
      <c r="B9" s="535" t="s">
        <v>86</v>
      </c>
      <c r="C9" s="574" t="s">
        <v>126</v>
      </c>
      <c r="D9" s="522" t="s">
        <v>91</v>
      </c>
      <c r="E9" s="525" t="s">
        <v>87</v>
      </c>
      <c r="F9" s="525" t="s">
        <v>88</v>
      </c>
      <c r="G9" s="545" t="s">
        <v>0</v>
      </c>
      <c r="H9" s="509" t="s">
        <v>131</v>
      </c>
      <c r="I9" s="509" t="s">
        <v>133</v>
      </c>
      <c r="J9" s="509" t="s">
        <v>132</v>
      </c>
      <c r="K9" s="509" t="s">
        <v>134</v>
      </c>
      <c r="L9" s="509" t="s">
        <v>135</v>
      </c>
    </row>
    <row r="10" spans="1:12" ht="17.25" customHeight="1" thickBot="1">
      <c r="A10" s="536"/>
      <c r="B10" s="536"/>
      <c r="C10" s="575"/>
      <c r="D10" s="523"/>
      <c r="E10" s="526"/>
      <c r="F10" s="526"/>
      <c r="G10" s="546"/>
      <c r="H10" s="510"/>
      <c r="I10" s="510"/>
      <c r="J10" s="510"/>
      <c r="K10" s="510"/>
      <c r="L10" s="510"/>
    </row>
    <row r="11" spans="1:12" ht="30" customHeight="1" thickBot="1">
      <c r="A11" s="134" t="s">
        <v>232</v>
      </c>
      <c r="B11" s="135" t="s">
        <v>125</v>
      </c>
      <c r="C11" s="136"/>
      <c r="D11" s="137"/>
      <c r="E11" s="138"/>
      <c r="F11" s="138"/>
      <c r="G11" s="143" t="s">
        <v>270</v>
      </c>
      <c r="H11" s="133"/>
      <c r="I11" s="133"/>
      <c r="J11" s="133"/>
      <c r="K11" s="133"/>
      <c r="L11" s="133"/>
    </row>
    <row r="12" spans="1:12" ht="21" customHeight="1" thickBot="1">
      <c r="A12" s="152"/>
      <c r="B12" s="153"/>
      <c r="C12" s="154" t="s">
        <v>127</v>
      </c>
      <c r="D12" s="155"/>
      <c r="E12" s="156"/>
      <c r="F12" s="156"/>
      <c r="G12" s="157" t="s">
        <v>129</v>
      </c>
      <c r="H12" s="158"/>
      <c r="I12" s="158"/>
      <c r="J12" s="158"/>
      <c r="K12" s="158"/>
      <c r="L12" s="158"/>
    </row>
    <row r="13" spans="1:12" ht="30.75" customHeight="1" thickBot="1">
      <c r="A13" s="159"/>
      <c r="B13" s="160"/>
      <c r="C13" s="161" t="s">
        <v>128</v>
      </c>
      <c r="D13" s="162"/>
      <c r="E13" s="163"/>
      <c r="F13" s="163"/>
      <c r="G13" s="164" t="s">
        <v>130</v>
      </c>
      <c r="H13" s="165"/>
      <c r="I13" s="165"/>
      <c r="J13" s="165"/>
      <c r="K13" s="165"/>
      <c r="L13" s="165"/>
    </row>
    <row r="14" spans="1:12" ht="15.75" customHeight="1" thickBot="1">
      <c r="A14" s="140"/>
      <c r="B14" s="141"/>
      <c r="C14" s="142"/>
      <c r="D14" s="150" t="s">
        <v>92</v>
      </c>
      <c r="E14" s="151"/>
      <c r="F14" s="148"/>
      <c r="G14" s="149" t="s">
        <v>10</v>
      </c>
      <c r="H14" s="139"/>
      <c r="I14" s="139"/>
      <c r="J14" s="139"/>
      <c r="K14" s="139"/>
      <c r="L14" s="139"/>
    </row>
    <row r="15" spans="1:12" ht="18.75" customHeight="1" thickBot="1">
      <c r="A15" s="130"/>
      <c r="B15" s="130"/>
      <c r="C15" s="130"/>
      <c r="D15" s="130"/>
      <c r="E15" s="212">
        <v>221</v>
      </c>
      <c r="F15" s="13">
        <v>411</v>
      </c>
      <c r="G15" s="14" t="s">
        <v>2</v>
      </c>
      <c r="H15" s="15">
        <f>SUM(I15+J15+K15+L15)</f>
        <v>10832519</v>
      </c>
      <c r="I15" s="15">
        <f>+I16</f>
        <v>2690576</v>
      </c>
      <c r="J15" s="15">
        <f>+J16</f>
        <v>2690576</v>
      </c>
      <c r="K15" s="15">
        <f>+K16</f>
        <v>2690576</v>
      </c>
      <c r="L15" s="15">
        <f>+L16</f>
        <v>2760791</v>
      </c>
    </row>
    <row r="16" spans="1:12" ht="18.75" customHeight="1" thickBot="1">
      <c r="A16" s="131"/>
      <c r="B16" s="131"/>
      <c r="C16" s="131"/>
      <c r="D16" s="131"/>
      <c r="E16" s="131"/>
      <c r="F16" s="171">
        <v>4111</v>
      </c>
      <c r="G16" s="101" t="s">
        <v>2</v>
      </c>
      <c r="H16" s="30">
        <f>I16+J16+K16+L16</f>
        <v>10832519</v>
      </c>
      <c r="I16" s="30">
        <v>2690576</v>
      </c>
      <c r="J16" s="30">
        <v>2690576</v>
      </c>
      <c r="K16" s="30">
        <f>2690576</f>
        <v>2690576</v>
      </c>
      <c r="L16" s="30">
        <f>2690574+70217</f>
        <v>2760791</v>
      </c>
    </row>
    <row r="17" spans="1:12" ht="19.5" customHeight="1" thickBot="1">
      <c r="A17" s="130"/>
      <c r="B17" s="130"/>
      <c r="C17" s="130"/>
      <c r="D17" s="130"/>
      <c r="E17" s="212">
        <v>222</v>
      </c>
      <c r="F17" s="13">
        <v>412</v>
      </c>
      <c r="G17" s="14" t="s">
        <v>28</v>
      </c>
      <c r="H17" s="15">
        <f>SUM(I17+J17+K17+L17)</f>
        <v>1856235</v>
      </c>
      <c r="I17" s="15">
        <f>SUM(I18+I19+I20)</f>
        <v>481613</v>
      </c>
      <c r="J17" s="15">
        <f>SUM(J18+J19+J20)</f>
        <v>481613</v>
      </c>
      <c r="K17" s="15">
        <f>SUM(K18+K19+K20)</f>
        <v>481613</v>
      </c>
      <c r="L17" s="15">
        <f>SUM(L18+L19+L20)</f>
        <v>411396</v>
      </c>
    </row>
    <row r="18" spans="1:12" ht="19.5" customHeight="1" thickBot="1">
      <c r="A18" s="131"/>
      <c r="B18" s="131"/>
      <c r="C18" s="131"/>
      <c r="D18" s="131"/>
      <c r="E18" s="131"/>
      <c r="F18" s="171">
        <v>4121</v>
      </c>
      <c r="G18" s="57" t="s">
        <v>140</v>
      </c>
      <c r="H18" s="500">
        <f>I18+J18+K18+L18</f>
        <v>1297477</v>
      </c>
      <c r="I18" s="501">
        <f>322870+2820</f>
        <v>325690</v>
      </c>
      <c r="J18" s="500">
        <f>322869+20180</f>
        <v>343049</v>
      </c>
      <c r="K18" s="501">
        <f>322869+15000</f>
        <v>337869</v>
      </c>
      <c r="L18" s="501">
        <f>322869-32000</f>
        <v>290869</v>
      </c>
    </row>
    <row r="19" spans="1:12" ht="19.5" customHeight="1" thickBot="1">
      <c r="A19" s="131"/>
      <c r="B19" s="131"/>
      <c r="C19" s="131"/>
      <c r="D19" s="131"/>
      <c r="E19" s="131"/>
      <c r="F19" s="171">
        <v>4122</v>
      </c>
      <c r="G19" s="308" t="s">
        <v>30</v>
      </c>
      <c r="H19" s="502">
        <f>I19+J19+K19+L19</f>
        <v>558758</v>
      </c>
      <c r="I19" s="503">
        <f>138566+17357</f>
        <v>155923</v>
      </c>
      <c r="J19" s="504">
        <v>138564</v>
      </c>
      <c r="K19" s="504">
        <f>138564+5180</f>
        <v>143744</v>
      </c>
      <c r="L19" s="503">
        <f>138564-18037</f>
        <v>120527</v>
      </c>
    </row>
    <row r="20" spans="1:12" ht="19.5" customHeight="1" thickBot="1">
      <c r="A20" s="131"/>
      <c r="B20" s="131"/>
      <c r="C20" s="131"/>
      <c r="D20" s="131"/>
      <c r="E20" s="131"/>
      <c r="F20" s="171">
        <v>4123</v>
      </c>
      <c r="G20" s="265" t="s">
        <v>31</v>
      </c>
      <c r="H20" s="264">
        <f>I20+J20+K20+L20</f>
        <v>0</v>
      </c>
      <c r="I20" s="264"/>
      <c r="J20" s="8"/>
      <c r="K20" s="8"/>
      <c r="L20" s="264"/>
    </row>
    <row r="21" spans="1:12" ht="16.5" customHeight="1" thickBot="1">
      <c r="A21" s="130"/>
      <c r="B21" s="130"/>
      <c r="C21" s="130"/>
      <c r="D21" s="130"/>
      <c r="E21" s="212">
        <v>223</v>
      </c>
      <c r="F21" s="13">
        <v>414</v>
      </c>
      <c r="G21" s="14" t="s">
        <v>27</v>
      </c>
      <c r="H21" s="15">
        <f>SUM(I21+J21+K21+L21)</f>
        <v>160000</v>
      </c>
      <c r="I21" s="15">
        <f>SUM(I22+I23)</f>
        <v>30000</v>
      </c>
      <c r="J21" s="15">
        <f>SUM(J22+J23)</f>
        <v>50000</v>
      </c>
      <c r="K21" s="15">
        <f>SUM(K22+K23)</f>
        <v>50000</v>
      </c>
      <c r="L21" s="15">
        <f>SUM(L22+L23)</f>
        <v>30000</v>
      </c>
    </row>
    <row r="22" spans="1:12" ht="45.75" customHeight="1" thickBot="1">
      <c r="A22" s="131"/>
      <c r="B22" s="131"/>
      <c r="C22" s="131"/>
      <c r="D22" s="131"/>
      <c r="E22" s="131"/>
      <c r="F22" s="171">
        <v>4143</v>
      </c>
      <c r="G22" s="57" t="s">
        <v>217</v>
      </c>
      <c r="H22" s="281">
        <f>I22+J22+K22+L22</f>
        <v>60000</v>
      </c>
      <c r="I22" s="360"/>
      <c r="J22" s="360">
        <v>30000</v>
      </c>
      <c r="K22" s="359">
        <v>30000</v>
      </c>
      <c r="L22" s="281"/>
    </row>
    <row r="23" spans="1:12" ht="31.5" customHeight="1" thickBot="1">
      <c r="A23" s="131"/>
      <c r="B23" s="131"/>
      <c r="C23" s="131"/>
      <c r="D23" s="131"/>
      <c r="E23" s="131"/>
      <c r="F23" s="171">
        <v>4144</v>
      </c>
      <c r="G23" s="265" t="s">
        <v>141</v>
      </c>
      <c r="H23" s="8">
        <f>I23+J23+K23+L23</f>
        <v>100000</v>
      </c>
      <c r="I23" s="361">
        <v>30000</v>
      </c>
      <c r="J23" s="361">
        <v>20000</v>
      </c>
      <c r="K23" s="358">
        <v>20000</v>
      </c>
      <c r="L23" s="8">
        <v>30000</v>
      </c>
    </row>
    <row r="24" spans="1:12" ht="17.25" customHeight="1" thickBot="1">
      <c r="A24" s="130"/>
      <c r="B24" s="130"/>
      <c r="C24" s="130"/>
      <c r="D24" s="130"/>
      <c r="E24" s="212">
        <v>224</v>
      </c>
      <c r="F24" s="13">
        <v>415</v>
      </c>
      <c r="G24" s="14" t="s">
        <v>4</v>
      </c>
      <c r="H24" s="15">
        <f>SUM(I24+J24+K24+L24)</f>
        <v>220000</v>
      </c>
      <c r="I24" s="15">
        <f>+I25</f>
        <v>55000</v>
      </c>
      <c r="J24" s="15">
        <f aca="true" t="shared" si="0" ref="J24:L26">+J25</f>
        <v>55000</v>
      </c>
      <c r="K24" s="15">
        <f t="shared" si="0"/>
        <v>55000</v>
      </c>
      <c r="L24" s="15">
        <f t="shared" si="0"/>
        <v>55000</v>
      </c>
    </row>
    <row r="25" spans="1:12" ht="17.25" customHeight="1" thickBot="1">
      <c r="A25" s="131"/>
      <c r="B25" s="131"/>
      <c r="C25" s="131"/>
      <c r="D25" s="131"/>
      <c r="E25" s="131"/>
      <c r="F25" s="171">
        <v>4151</v>
      </c>
      <c r="G25" s="101" t="s">
        <v>4</v>
      </c>
      <c r="H25" s="30">
        <f>I25+J25+K25+L25</f>
        <v>220000</v>
      </c>
      <c r="I25" s="30">
        <v>55000</v>
      </c>
      <c r="J25" s="30">
        <v>55000</v>
      </c>
      <c r="K25" s="30">
        <v>55000</v>
      </c>
      <c r="L25" s="30">
        <v>55000</v>
      </c>
    </row>
    <row r="26" spans="1:12" ht="18" customHeight="1" thickBot="1">
      <c r="A26" s="130"/>
      <c r="B26" s="130"/>
      <c r="C26" s="130"/>
      <c r="D26" s="130"/>
      <c r="E26" s="212">
        <v>225</v>
      </c>
      <c r="F26" s="13">
        <v>416</v>
      </c>
      <c r="G26" s="14" t="s">
        <v>26</v>
      </c>
      <c r="H26" s="15">
        <f>SUM(I26+J26+K26+L26)</f>
        <v>250000</v>
      </c>
      <c r="I26" s="15">
        <f>SUM(I27)</f>
        <v>0</v>
      </c>
      <c r="J26" s="15">
        <f t="shared" si="0"/>
        <v>250000</v>
      </c>
      <c r="K26" s="15">
        <f>SUM(K27)</f>
        <v>0</v>
      </c>
      <c r="L26" s="15">
        <f>SUM(L27)</f>
        <v>0</v>
      </c>
    </row>
    <row r="27" spans="1:12" ht="33" customHeight="1" thickBot="1">
      <c r="A27" s="131"/>
      <c r="B27" s="131"/>
      <c r="C27" s="131"/>
      <c r="D27" s="131"/>
      <c r="E27" s="131"/>
      <c r="F27" s="102">
        <v>4161</v>
      </c>
      <c r="G27" s="101" t="s">
        <v>242</v>
      </c>
      <c r="H27" s="30">
        <f>I27+J27+K27+L27</f>
        <v>250000</v>
      </c>
      <c r="I27" s="30">
        <v>0</v>
      </c>
      <c r="J27" s="30">
        <v>250000</v>
      </c>
      <c r="K27" s="30"/>
      <c r="L27" s="30">
        <v>0</v>
      </c>
    </row>
    <row r="28" spans="1:12" ht="20.25" customHeight="1" thickBot="1">
      <c r="A28" s="173"/>
      <c r="B28" s="173"/>
      <c r="C28" s="173"/>
      <c r="D28" s="173"/>
      <c r="E28" s="213">
        <v>226</v>
      </c>
      <c r="F28" s="69">
        <v>421</v>
      </c>
      <c r="G28" s="14" t="s">
        <v>5</v>
      </c>
      <c r="H28" s="15">
        <f>SUM(I28+J28+K28+L28)</f>
        <v>2283300</v>
      </c>
      <c r="I28" s="15">
        <f>SUM(I29+I30+I31+I32+I33+I34)</f>
        <v>500000</v>
      </c>
      <c r="J28" s="15">
        <f>SUM(J29+J30+J31+J32+J33+J34)</f>
        <v>600000</v>
      </c>
      <c r="K28" s="15">
        <f>SUM(K29+K30+K31+K32+K33+K34)</f>
        <v>489000</v>
      </c>
      <c r="L28" s="15">
        <f>SUM(L29+L30+L31+L32+L33+L34)</f>
        <v>694300</v>
      </c>
    </row>
    <row r="29" spans="1:13" ht="18.75" customHeight="1" thickBot="1">
      <c r="A29" s="422"/>
      <c r="B29" s="423"/>
      <c r="C29" s="477"/>
      <c r="D29" s="423"/>
      <c r="E29" s="423"/>
      <c r="F29" s="428">
        <v>4211</v>
      </c>
      <c r="G29" s="362" t="s">
        <v>32</v>
      </c>
      <c r="H29" s="58">
        <f aca="true" t="shared" si="1" ref="H29:H34">I29+J29+K29+L29</f>
        <v>70000</v>
      </c>
      <c r="I29" s="368">
        <v>25000</v>
      </c>
      <c r="J29" s="368">
        <v>15000</v>
      </c>
      <c r="K29" s="371">
        <v>15000</v>
      </c>
      <c r="L29" s="374">
        <v>15000</v>
      </c>
      <c r="M29" s="373"/>
    </row>
    <row r="30" spans="1:13" ht="31.5" customHeight="1" thickBot="1">
      <c r="A30" s="421"/>
      <c r="B30" s="351"/>
      <c r="C30" s="475"/>
      <c r="D30" s="173"/>
      <c r="E30" s="173"/>
      <c r="F30" s="429">
        <v>4212</v>
      </c>
      <c r="G30" s="363" t="s">
        <v>142</v>
      </c>
      <c r="H30" s="298">
        <f t="shared" si="1"/>
        <v>1480000</v>
      </c>
      <c r="I30" s="367">
        <v>335500</v>
      </c>
      <c r="J30" s="369">
        <v>395500</v>
      </c>
      <c r="K30" s="366">
        <v>335175</v>
      </c>
      <c r="L30" s="366">
        <v>413825</v>
      </c>
      <c r="M30" s="373"/>
    </row>
    <row r="31" spans="1:13" ht="33.75" customHeight="1" thickBot="1">
      <c r="A31" s="421"/>
      <c r="B31" s="173"/>
      <c r="C31" s="173"/>
      <c r="D31" s="352"/>
      <c r="E31" s="173"/>
      <c r="F31" s="429">
        <v>4213</v>
      </c>
      <c r="G31" s="363" t="s">
        <v>143</v>
      </c>
      <c r="H31" s="298">
        <f t="shared" si="1"/>
        <v>54000</v>
      </c>
      <c r="I31" s="369">
        <v>9000</v>
      </c>
      <c r="J31" s="366">
        <v>20000</v>
      </c>
      <c r="K31" s="367">
        <f>19000-12000</f>
        <v>7000</v>
      </c>
      <c r="L31" s="369">
        <f>18000</f>
        <v>18000</v>
      </c>
      <c r="M31" s="373"/>
    </row>
    <row r="32" spans="1:13" ht="18.75" customHeight="1" thickBot="1">
      <c r="A32" s="421"/>
      <c r="B32" s="173"/>
      <c r="C32" s="173"/>
      <c r="D32" s="357"/>
      <c r="E32" s="173"/>
      <c r="F32" s="429">
        <v>4214</v>
      </c>
      <c r="G32" s="364" t="s">
        <v>144</v>
      </c>
      <c r="H32" s="230">
        <f t="shared" si="1"/>
        <v>291300</v>
      </c>
      <c r="I32" s="366">
        <v>60000</v>
      </c>
      <c r="J32" s="366">
        <v>84000</v>
      </c>
      <c r="K32" s="367">
        <v>72825</v>
      </c>
      <c r="L32" s="369">
        <v>74475</v>
      </c>
      <c r="M32" s="373"/>
    </row>
    <row r="33" spans="1:12" ht="18.75" customHeight="1" thickBot="1">
      <c r="A33" s="404"/>
      <c r="B33" s="352"/>
      <c r="C33" s="173"/>
      <c r="D33" s="357"/>
      <c r="E33" s="427"/>
      <c r="F33" s="431">
        <v>4215</v>
      </c>
      <c r="G33" s="363" t="s">
        <v>103</v>
      </c>
      <c r="H33" s="11">
        <f t="shared" si="1"/>
        <v>385000</v>
      </c>
      <c r="I33" s="366">
        <v>70000</v>
      </c>
      <c r="J33" s="367">
        <v>85000</v>
      </c>
      <c r="K33" s="367">
        <v>57500</v>
      </c>
      <c r="L33" s="367">
        <v>172500</v>
      </c>
    </row>
    <row r="34" spans="1:13" ht="21" customHeight="1" thickBot="1">
      <c r="A34" s="354"/>
      <c r="B34" s="353"/>
      <c r="C34" s="173"/>
      <c r="D34" s="173"/>
      <c r="E34" s="173"/>
      <c r="F34" s="430">
        <v>4219</v>
      </c>
      <c r="G34" s="365" t="s">
        <v>162</v>
      </c>
      <c r="H34" s="264">
        <f t="shared" si="1"/>
        <v>3000</v>
      </c>
      <c r="I34" s="372">
        <v>500</v>
      </c>
      <c r="J34" s="370">
        <v>500</v>
      </c>
      <c r="K34" s="372">
        <f>500+1000</f>
        <v>1500</v>
      </c>
      <c r="L34" s="370">
        <f>500</f>
        <v>500</v>
      </c>
      <c r="M34" s="373"/>
    </row>
    <row r="35" spans="1:12" ht="22.5" customHeight="1" thickBot="1">
      <c r="A35" s="173"/>
      <c r="B35" s="173"/>
      <c r="C35" s="173"/>
      <c r="D35" s="173"/>
      <c r="E35" s="213">
        <v>227</v>
      </c>
      <c r="F35" s="69">
        <v>422</v>
      </c>
      <c r="G35" s="14" t="s">
        <v>6</v>
      </c>
      <c r="H35" s="15">
        <f>SUM(I35+J35+K35+L35)</f>
        <v>60000</v>
      </c>
      <c r="I35" s="15">
        <f>I36</f>
        <v>10000</v>
      </c>
      <c r="J35" s="15">
        <f>J36</f>
        <v>20000</v>
      </c>
      <c r="K35" s="15">
        <f>K36</f>
        <v>15000</v>
      </c>
      <c r="L35" s="15">
        <f>L36</f>
        <v>15000</v>
      </c>
    </row>
    <row r="36" spans="1:12" ht="31.5" customHeight="1" thickBot="1">
      <c r="A36" s="131"/>
      <c r="B36" s="131"/>
      <c r="C36" s="131"/>
      <c r="D36" s="131"/>
      <c r="E36" s="131"/>
      <c r="F36" s="102">
        <v>4221</v>
      </c>
      <c r="G36" s="101" t="s">
        <v>104</v>
      </c>
      <c r="H36" s="30">
        <f>I36+J36+K36+L36</f>
        <v>60000</v>
      </c>
      <c r="I36" s="30">
        <v>10000</v>
      </c>
      <c r="J36" s="30">
        <v>20000</v>
      </c>
      <c r="K36" s="30">
        <v>15000</v>
      </c>
      <c r="L36" s="30">
        <v>15000</v>
      </c>
    </row>
    <row r="37" spans="1:12" ht="21.75" customHeight="1" thickBot="1">
      <c r="A37" s="130"/>
      <c r="B37" s="130"/>
      <c r="C37" s="130"/>
      <c r="D37" s="130"/>
      <c r="E37" s="212">
        <v>228</v>
      </c>
      <c r="F37" s="13">
        <v>423</v>
      </c>
      <c r="G37" s="14" t="s">
        <v>7</v>
      </c>
      <c r="H37" s="15">
        <f aca="true" t="shared" si="2" ref="H37:H67">SUM(I37+J37+K37+L37)</f>
        <v>427000</v>
      </c>
      <c r="I37" s="15">
        <f>SUM(I38:I43)</f>
        <v>80000</v>
      </c>
      <c r="J37" s="15">
        <f>SUM(J38:J43)</f>
        <v>120000</v>
      </c>
      <c r="K37" s="15">
        <f>SUM(K38:K43)</f>
        <v>127000</v>
      </c>
      <c r="L37" s="15">
        <f>SUM(L38:L43)</f>
        <v>100000</v>
      </c>
    </row>
    <row r="38" spans="1:12" ht="21.75" customHeight="1" thickBot="1">
      <c r="A38" s="131"/>
      <c r="B38" s="131"/>
      <c r="C38" s="131"/>
      <c r="D38" s="131"/>
      <c r="E38" s="173"/>
      <c r="F38" s="171">
        <v>4232</v>
      </c>
      <c r="G38" s="57" t="s">
        <v>105</v>
      </c>
      <c r="H38" s="261">
        <f aca="true" t="shared" si="3" ref="H38:H45">I38+J38+K38+L38</f>
        <v>100000</v>
      </c>
      <c r="I38" s="58">
        <v>20000</v>
      </c>
      <c r="J38" s="58">
        <v>30000</v>
      </c>
      <c r="K38" s="58">
        <v>40000</v>
      </c>
      <c r="L38" s="281">
        <v>10000</v>
      </c>
    </row>
    <row r="39" spans="1:12" ht="32.25" customHeight="1" thickBot="1">
      <c r="A39" s="131"/>
      <c r="B39" s="131"/>
      <c r="C39" s="131"/>
      <c r="D39" s="131"/>
      <c r="E39" s="425"/>
      <c r="F39" s="177">
        <v>4233</v>
      </c>
      <c r="G39" s="305" t="s">
        <v>106</v>
      </c>
      <c r="H39" s="298">
        <f t="shared" si="3"/>
        <v>50000</v>
      </c>
      <c r="I39" s="298">
        <v>27500</v>
      </c>
      <c r="J39" s="298">
        <v>17500</v>
      </c>
      <c r="K39" s="298">
        <v>5000</v>
      </c>
      <c r="L39" s="11"/>
    </row>
    <row r="40" spans="1:12" ht="19.5" customHeight="1" thickBot="1">
      <c r="A40" s="131"/>
      <c r="B40" s="131"/>
      <c r="C40" s="131"/>
      <c r="D40" s="131"/>
      <c r="E40" s="424"/>
      <c r="F40" s="56">
        <v>4234</v>
      </c>
      <c r="G40" s="305" t="s">
        <v>107</v>
      </c>
      <c r="H40" s="298">
        <f t="shared" si="3"/>
        <v>120000</v>
      </c>
      <c r="I40" s="230">
        <v>20000</v>
      </c>
      <c r="J40" s="230">
        <v>60000</v>
      </c>
      <c r="K40" s="230">
        <v>30000</v>
      </c>
      <c r="L40" s="230">
        <v>10000</v>
      </c>
    </row>
    <row r="41" spans="1:12" ht="21.75" customHeight="1" thickBot="1">
      <c r="A41" s="131"/>
      <c r="B41" s="131"/>
      <c r="C41" s="131"/>
      <c r="D41" s="131"/>
      <c r="E41" s="173"/>
      <c r="F41" s="56">
        <v>4235</v>
      </c>
      <c r="G41" s="305" t="s">
        <v>108</v>
      </c>
      <c r="H41" s="230">
        <f t="shared" si="3"/>
        <v>50000</v>
      </c>
      <c r="I41" s="230">
        <v>12500</v>
      </c>
      <c r="J41" s="11">
        <v>12500</v>
      </c>
      <c r="K41" s="314">
        <v>25000</v>
      </c>
      <c r="L41" s="11">
        <v>0</v>
      </c>
    </row>
    <row r="42" spans="1:12" ht="21" customHeight="1" thickBot="1">
      <c r="A42" s="131"/>
      <c r="B42" s="131"/>
      <c r="C42" s="131"/>
      <c r="D42" s="131"/>
      <c r="E42" s="425"/>
      <c r="F42" s="171">
        <v>4237</v>
      </c>
      <c r="G42" s="10" t="s">
        <v>146</v>
      </c>
      <c r="H42" s="230">
        <f t="shared" si="3"/>
        <v>80000</v>
      </c>
      <c r="I42" s="230"/>
      <c r="J42" s="298"/>
      <c r="K42" s="11"/>
      <c r="L42" s="298">
        <v>80000</v>
      </c>
    </row>
    <row r="43" spans="1:12" ht="21.75" customHeight="1" thickBot="1">
      <c r="A43" s="131"/>
      <c r="B43" s="131"/>
      <c r="C43" s="131"/>
      <c r="D43" s="131"/>
      <c r="E43" s="173"/>
      <c r="F43" s="171">
        <v>4239</v>
      </c>
      <c r="G43" s="265" t="s">
        <v>9</v>
      </c>
      <c r="H43" s="314">
        <f t="shared" si="3"/>
        <v>27000</v>
      </c>
      <c r="I43" s="264"/>
      <c r="J43" s="264"/>
      <c r="K43" s="264">
        <v>27000</v>
      </c>
      <c r="L43" s="264"/>
    </row>
    <row r="44" spans="1:12" ht="19.5" customHeight="1" thickBot="1">
      <c r="A44" s="130"/>
      <c r="B44" s="130"/>
      <c r="C44" s="130"/>
      <c r="D44" s="130"/>
      <c r="E44" s="212">
        <v>229</v>
      </c>
      <c r="F44" s="13">
        <v>424</v>
      </c>
      <c r="G44" s="14" t="s">
        <v>25</v>
      </c>
      <c r="H44" s="50">
        <f t="shared" si="2"/>
        <v>100000</v>
      </c>
      <c r="I44" s="15">
        <f>+I46+I45</f>
        <v>10000</v>
      </c>
      <c r="J44" s="15">
        <f>+J46+J45</f>
        <v>10000</v>
      </c>
      <c r="K44" s="15">
        <f>+K46+K45</f>
        <v>10000</v>
      </c>
      <c r="L44" s="15">
        <f>+L46+L45</f>
        <v>70000</v>
      </c>
    </row>
    <row r="45" spans="1:12" ht="19.5" customHeight="1" thickBot="1">
      <c r="A45" s="350"/>
      <c r="B45" s="350"/>
      <c r="C45" s="350"/>
      <c r="D45" s="350"/>
      <c r="E45" s="424"/>
      <c r="F45" s="56">
        <v>4242</v>
      </c>
      <c r="G45" s="57" t="s">
        <v>218</v>
      </c>
      <c r="H45" s="230">
        <f t="shared" si="3"/>
        <v>100000</v>
      </c>
      <c r="I45" s="281">
        <v>10000</v>
      </c>
      <c r="J45" s="281">
        <v>10000</v>
      </c>
      <c r="K45" s="281">
        <v>10000</v>
      </c>
      <c r="L45" s="281">
        <v>70000</v>
      </c>
    </row>
    <row r="46" spans="1:12" ht="19.5" customHeight="1" hidden="1" thickBot="1">
      <c r="A46" s="131"/>
      <c r="B46" s="131"/>
      <c r="C46" s="131"/>
      <c r="D46" s="131"/>
      <c r="E46" s="173"/>
      <c r="F46" s="432">
        <v>4249</v>
      </c>
      <c r="G46" s="265" t="s">
        <v>147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2" ht="16.5" customHeight="1" thickBot="1">
      <c r="A47" s="130"/>
      <c r="B47" s="130"/>
      <c r="C47" s="130"/>
      <c r="D47" s="130"/>
      <c r="E47" s="212">
        <v>230</v>
      </c>
      <c r="F47" s="13">
        <v>425</v>
      </c>
      <c r="G47" s="14" t="s">
        <v>11</v>
      </c>
      <c r="H47" s="15">
        <f t="shared" si="2"/>
        <v>920000</v>
      </c>
      <c r="I47" s="15">
        <f>SUM(I48:I49)</f>
        <v>515000</v>
      </c>
      <c r="J47" s="15">
        <f>SUM(J48:J49)</f>
        <v>50000</v>
      </c>
      <c r="K47" s="15">
        <f>SUM(K48:K49)</f>
        <v>185000</v>
      </c>
      <c r="L47" s="15">
        <f>SUM(L48:L49)</f>
        <v>170000</v>
      </c>
    </row>
    <row r="48" spans="1:12" ht="30.75" customHeight="1" thickBot="1">
      <c r="A48" s="60"/>
      <c r="B48" s="60"/>
      <c r="C48" s="60"/>
      <c r="D48" s="60"/>
      <c r="E48" s="424"/>
      <c r="F48" s="171">
        <v>4251</v>
      </c>
      <c r="G48" s="57" t="s">
        <v>110</v>
      </c>
      <c r="H48" s="298">
        <f>I48+J48+K48+L48</f>
        <v>490000</v>
      </c>
      <c r="I48" s="281">
        <f>125000+365000</f>
        <v>490000</v>
      </c>
      <c r="J48" s="281">
        <f>250000-250000</f>
        <v>0</v>
      </c>
      <c r="K48" s="281">
        <f>115000-115000</f>
        <v>0</v>
      </c>
      <c r="L48" s="281"/>
    </row>
    <row r="49" spans="1:12" ht="33" customHeight="1" thickBot="1">
      <c r="A49" s="60"/>
      <c r="B49" s="60"/>
      <c r="C49" s="60"/>
      <c r="D49" s="60"/>
      <c r="E49" s="173"/>
      <c r="F49" s="6">
        <v>4252</v>
      </c>
      <c r="G49" s="265" t="s">
        <v>111</v>
      </c>
      <c r="H49" s="298">
        <f>I49+J49+K49+L49</f>
        <v>430000</v>
      </c>
      <c r="I49" s="8">
        <v>25000</v>
      </c>
      <c r="J49" s="8">
        <v>50000</v>
      </c>
      <c r="K49" s="8">
        <v>185000</v>
      </c>
      <c r="L49" s="8">
        <v>170000</v>
      </c>
    </row>
    <row r="50" spans="1:12" ht="17.25" customHeight="1" thickBot="1">
      <c r="A50" s="175"/>
      <c r="B50" s="175"/>
      <c r="C50" s="175"/>
      <c r="D50" s="175"/>
      <c r="E50" s="213">
        <v>231</v>
      </c>
      <c r="F50" s="69">
        <v>426</v>
      </c>
      <c r="G50" s="14" t="s">
        <v>12</v>
      </c>
      <c r="H50" s="15">
        <f t="shared" si="2"/>
        <v>775000</v>
      </c>
      <c r="I50" s="214">
        <f>SUM(I51:I56)</f>
        <v>120000</v>
      </c>
      <c r="J50" s="214">
        <f>SUM(J51:J56)</f>
        <v>200000</v>
      </c>
      <c r="K50" s="214">
        <f>SUM(K51:K56)</f>
        <v>200000</v>
      </c>
      <c r="L50" s="214">
        <f>SUM(L51:L56)</f>
        <v>255000</v>
      </c>
    </row>
    <row r="51" spans="1:12" ht="17.25" customHeight="1" thickBot="1">
      <c r="A51" s="420"/>
      <c r="B51" s="173"/>
      <c r="C51" s="355"/>
      <c r="D51" s="476"/>
      <c r="E51" s="173"/>
      <c r="F51" s="56">
        <v>4261</v>
      </c>
      <c r="G51" s="320" t="s">
        <v>112</v>
      </c>
      <c r="H51" s="58">
        <f t="shared" si="2"/>
        <v>130000</v>
      </c>
      <c r="I51" s="281">
        <v>20000</v>
      </c>
      <c r="J51" s="19">
        <v>30000</v>
      </c>
      <c r="K51" s="327">
        <v>32500</v>
      </c>
      <c r="L51" s="281">
        <v>47500</v>
      </c>
    </row>
    <row r="52" spans="1:12" ht="31.5" customHeight="1" thickBot="1">
      <c r="A52" s="404"/>
      <c r="B52" s="173"/>
      <c r="C52" s="173"/>
      <c r="D52" s="355"/>
      <c r="E52" s="426"/>
      <c r="F52" s="171">
        <v>4263</v>
      </c>
      <c r="G52" s="293" t="s">
        <v>148</v>
      </c>
      <c r="H52" s="230">
        <f t="shared" si="2"/>
        <v>100000</v>
      </c>
      <c r="I52" s="206">
        <v>40000</v>
      </c>
      <c r="J52" s="230">
        <v>60000</v>
      </c>
      <c r="K52" s="306"/>
      <c r="L52" s="230"/>
    </row>
    <row r="53" spans="1:12" ht="17.25" customHeight="1" thickBot="1">
      <c r="A53" s="404"/>
      <c r="B53" s="173"/>
      <c r="C53" s="173"/>
      <c r="D53" s="355"/>
      <c r="E53" s="173"/>
      <c r="F53" s="433">
        <v>4264</v>
      </c>
      <c r="G53" s="305" t="s">
        <v>149</v>
      </c>
      <c r="H53" s="11">
        <f t="shared" si="2"/>
        <v>250000</v>
      </c>
      <c r="I53" s="206">
        <v>30000</v>
      </c>
      <c r="J53" s="230">
        <v>50000</v>
      </c>
      <c r="K53" s="23">
        <v>77500</v>
      </c>
      <c r="L53" s="23">
        <v>92500</v>
      </c>
    </row>
    <row r="54" spans="1:12" ht="32.25" customHeight="1" hidden="1" thickBot="1">
      <c r="A54" s="404"/>
      <c r="B54" s="354"/>
      <c r="C54" s="353"/>
      <c r="D54" s="173"/>
      <c r="E54" s="426"/>
      <c r="F54" s="171">
        <v>4266</v>
      </c>
      <c r="G54" s="375" t="s">
        <v>163</v>
      </c>
      <c r="H54" s="230">
        <v>0</v>
      </c>
      <c r="I54" s="206"/>
      <c r="J54" s="230"/>
      <c r="K54" s="230"/>
      <c r="L54" s="23"/>
    </row>
    <row r="55" spans="1:12" ht="31.5" customHeight="1" thickBot="1">
      <c r="A55" s="419"/>
      <c r="B55" s="173"/>
      <c r="C55" s="173"/>
      <c r="D55" s="173"/>
      <c r="E55" s="424"/>
      <c r="F55" s="171">
        <v>4268</v>
      </c>
      <c r="G55" s="305" t="s">
        <v>115</v>
      </c>
      <c r="H55" s="100">
        <f t="shared" si="2"/>
        <v>80000</v>
      </c>
      <c r="I55" s="206">
        <v>10000</v>
      </c>
      <c r="J55" s="230">
        <v>20000</v>
      </c>
      <c r="K55" s="230">
        <v>20000</v>
      </c>
      <c r="L55" s="230">
        <v>30000</v>
      </c>
    </row>
    <row r="56" spans="1:12" ht="17.25" customHeight="1" thickBot="1">
      <c r="A56" s="420"/>
      <c r="B56" s="173"/>
      <c r="C56" s="352"/>
      <c r="D56" s="173"/>
      <c r="E56" s="173"/>
      <c r="F56" s="171">
        <v>4269</v>
      </c>
      <c r="G56" s="345" t="s">
        <v>34</v>
      </c>
      <c r="H56" s="264">
        <f t="shared" si="2"/>
        <v>215000</v>
      </c>
      <c r="I56" s="377">
        <v>20000</v>
      </c>
      <c r="J56" s="264">
        <v>40000</v>
      </c>
      <c r="K56" s="376">
        <v>70000</v>
      </c>
      <c r="L56" s="376">
        <v>85000</v>
      </c>
    </row>
    <row r="57" spans="1:13" ht="17.25" customHeight="1" thickBot="1">
      <c r="A57" s="249"/>
      <c r="B57" s="249"/>
      <c r="C57" s="249"/>
      <c r="D57" s="246"/>
      <c r="E57" s="254">
        <v>232</v>
      </c>
      <c r="F57" s="216">
        <v>444</v>
      </c>
      <c r="G57" s="256" t="s">
        <v>161</v>
      </c>
      <c r="H57" s="217">
        <f>SUM(H58)</f>
        <v>10000</v>
      </c>
      <c r="I57" s="219">
        <f>SUM(I58)</f>
        <v>1500</v>
      </c>
      <c r="J57" s="217">
        <f>SUM(J58)</f>
        <v>3000</v>
      </c>
      <c r="K57" s="217">
        <f>SUM(K58)</f>
        <v>2000</v>
      </c>
      <c r="L57" s="262">
        <f>SUM(L58)</f>
        <v>3500</v>
      </c>
      <c r="M57" s="253"/>
    </row>
    <row r="58" spans="1:13" ht="17.25" customHeight="1" thickBot="1">
      <c r="A58" s="249"/>
      <c r="B58" s="249"/>
      <c r="C58" s="249"/>
      <c r="D58" s="249"/>
      <c r="E58" s="257"/>
      <c r="F58" s="258">
        <v>4442</v>
      </c>
      <c r="G58" s="259" t="s">
        <v>160</v>
      </c>
      <c r="H58" s="260">
        <f>SUM(I58+J58+K58+L58)</f>
        <v>10000</v>
      </c>
      <c r="I58" s="261">
        <v>1500</v>
      </c>
      <c r="J58" s="261">
        <v>3000</v>
      </c>
      <c r="K58" s="260">
        <v>2000</v>
      </c>
      <c r="L58" s="307">
        <v>3500</v>
      </c>
      <c r="M58" s="373"/>
    </row>
    <row r="59" spans="1:12" ht="15" customHeight="1" thickBot="1">
      <c r="A59" s="60"/>
      <c r="B59" s="60"/>
      <c r="C59" s="60"/>
      <c r="D59" s="60"/>
      <c r="E59" s="212">
        <v>233</v>
      </c>
      <c r="F59" s="215">
        <v>465</v>
      </c>
      <c r="G59" s="255" t="s">
        <v>83</v>
      </c>
      <c r="H59" s="217">
        <f t="shared" si="2"/>
        <v>1372279</v>
      </c>
      <c r="I59" s="217">
        <f>+I60</f>
        <v>343070</v>
      </c>
      <c r="J59" s="217">
        <f>+J60</f>
        <v>343070</v>
      </c>
      <c r="K59" s="217">
        <f>+K60</f>
        <v>343070</v>
      </c>
      <c r="L59" s="217">
        <f>+L60</f>
        <v>343069</v>
      </c>
    </row>
    <row r="60" spans="1:12" ht="33.75" customHeight="1" thickBot="1">
      <c r="A60" s="404"/>
      <c r="B60" s="173"/>
      <c r="C60" s="173"/>
      <c r="D60" s="173"/>
      <c r="E60" s="378"/>
      <c r="F60" s="379">
        <v>4651</v>
      </c>
      <c r="G60" s="380" t="s">
        <v>116</v>
      </c>
      <c r="H60" s="30">
        <f t="shared" si="2"/>
        <v>1372279</v>
      </c>
      <c r="I60" s="174">
        <v>343070</v>
      </c>
      <c r="J60" s="499">
        <v>343070</v>
      </c>
      <c r="K60" s="8">
        <v>343070</v>
      </c>
      <c r="L60" s="8">
        <v>343069</v>
      </c>
    </row>
    <row r="61" spans="1:12" ht="15" customHeight="1" thickBot="1">
      <c r="A61" s="350"/>
      <c r="B61" s="132"/>
      <c r="C61" s="350"/>
      <c r="D61" s="350"/>
      <c r="E61" s="212">
        <v>234</v>
      </c>
      <c r="F61" s="13">
        <v>482</v>
      </c>
      <c r="G61" s="205" t="s">
        <v>14</v>
      </c>
      <c r="H61" s="50">
        <f t="shared" si="2"/>
        <v>55000</v>
      </c>
      <c r="I61" s="50">
        <f>SUM(I62+I63)</f>
        <v>15000</v>
      </c>
      <c r="J61" s="217">
        <f>SUM(J62+J63)</f>
        <v>10000</v>
      </c>
      <c r="K61" s="50">
        <f>SUM(K62+K63)</f>
        <v>20000</v>
      </c>
      <c r="L61" s="50">
        <f>SUM(L62+L63)</f>
        <v>10000</v>
      </c>
    </row>
    <row r="62" spans="1:12" ht="15" customHeight="1" thickBot="1">
      <c r="A62" s="404"/>
      <c r="B62" s="173"/>
      <c r="C62" s="356"/>
      <c r="D62" s="350"/>
      <c r="E62" s="173"/>
      <c r="F62" s="171">
        <v>4821</v>
      </c>
      <c r="G62" s="10" t="s">
        <v>117</v>
      </c>
      <c r="H62" s="281">
        <f t="shared" si="2"/>
        <v>25000</v>
      </c>
      <c r="I62" s="11"/>
      <c r="J62" s="11">
        <v>10000</v>
      </c>
      <c r="K62" s="11">
        <v>15000</v>
      </c>
      <c r="L62" s="11"/>
    </row>
    <row r="63" spans="1:12" ht="15" customHeight="1" thickBot="1">
      <c r="A63" s="404"/>
      <c r="B63" s="354"/>
      <c r="C63" s="356"/>
      <c r="D63" s="173"/>
      <c r="E63" s="426"/>
      <c r="F63" s="176">
        <v>4822</v>
      </c>
      <c r="G63" s="265" t="s">
        <v>118</v>
      </c>
      <c r="H63" s="8">
        <f t="shared" si="2"/>
        <v>30000</v>
      </c>
      <c r="I63" s="264">
        <v>15000</v>
      </c>
      <c r="J63" s="264">
        <v>0</v>
      </c>
      <c r="K63" s="264">
        <v>5000</v>
      </c>
      <c r="L63" s="264">
        <v>10000</v>
      </c>
    </row>
    <row r="64" spans="1:12" ht="21" customHeight="1" hidden="1" thickBot="1">
      <c r="A64" s="173"/>
      <c r="B64" s="132"/>
      <c r="C64" s="173"/>
      <c r="D64" s="132"/>
      <c r="E64" s="213">
        <v>253</v>
      </c>
      <c r="F64" s="48">
        <v>483</v>
      </c>
      <c r="G64" s="49" t="s">
        <v>15</v>
      </c>
      <c r="H64" s="15"/>
      <c r="I64" s="50"/>
      <c r="J64" s="218"/>
      <c r="K64" s="218"/>
      <c r="L64" s="218"/>
    </row>
    <row r="65" spans="1:12" ht="33" customHeight="1" hidden="1" thickBot="1">
      <c r="A65" s="131"/>
      <c r="B65" s="131"/>
      <c r="C65" s="131"/>
      <c r="D65" s="131"/>
      <c r="E65" s="131"/>
      <c r="F65" s="176">
        <v>4831</v>
      </c>
      <c r="G65" s="7" t="s">
        <v>77</v>
      </c>
      <c r="H65" s="30">
        <f t="shared" si="2"/>
        <v>0</v>
      </c>
      <c r="I65" s="8"/>
      <c r="J65" s="8"/>
      <c r="K65" s="8"/>
      <c r="L65" s="8"/>
    </row>
    <row r="66" spans="1:12" ht="18.75" customHeight="1" thickBot="1">
      <c r="A66" s="130"/>
      <c r="B66" s="130"/>
      <c r="C66" s="130"/>
      <c r="D66" s="130"/>
      <c r="E66" s="212">
        <v>235</v>
      </c>
      <c r="F66" s="13">
        <v>512</v>
      </c>
      <c r="G66" s="14" t="s">
        <v>16</v>
      </c>
      <c r="H66" s="15">
        <f t="shared" si="2"/>
        <v>835000</v>
      </c>
      <c r="I66" s="15">
        <f>+I67+I68</f>
        <v>0</v>
      </c>
      <c r="J66" s="15">
        <f>+J67+J68</f>
        <v>735000</v>
      </c>
      <c r="K66" s="15">
        <f>+K67+K68</f>
        <v>100000</v>
      </c>
      <c r="L66" s="15">
        <f>+L67+L68</f>
        <v>0</v>
      </c>
    </row>
    <row r="67" spans="1:12" ht="18.75" customHeight="1" thickBot="1">
      <c r="A67" s="131"/>
      <c r="B67" s="131"/>
      <c r="C67" s="131"/>
      <c r="D67" s="131"/>
      <c r="E67" s="131"/>
      <c r="F67" s="171">
        <v>5122</v>
      </c>
      <c r="G67" s="10" t="s">
        <v>150</v>
      </c>
      <c r="H67" s="58">
        <f t="shared" si="2"/>
        <v>335000</v>
      </c>
      <c r="I67" s="11"/>
      <c r="J67" s="11">
        <v>235000</v>
      </c>
      <c r="K67" s="11">
        <v>100000</v>
      </c>
      <c r="L67" s="11"/>
    </row>
    <row r="68" spans="1:12" ht="18.75" customHeight="1" thickBot="1">
      <c r="A68" s="468"/>
      <c r="B68" s="468"/>
      <c r="C68" s="468"/>
      <c r="D68" s="468"/>
      <c r="E68" s="468"/>
      <c r="F68" s="177">
        <v>5126</v>
      </c>
      <c r="G68" s="265" t="s">
        <v>225</v>
      </c>
      <c r="H68" s="264">
        <f>SUM(I68+J68+K68+L68)</f>
        <v>500000</v>
      </c>
      <c r="I68" s="264"/>
      <c r="J68" s="264">
        <v>500000</v>
      </c>
      <c r="K68" s="264"/>
      <c r="L68" s="264"/>
    </row>
    <row r="69" spans="1:12" ht="19.5" customHeight="1" thickBot="1">
      <c r="A69" s="551" t="s">
        <v>136</v>
      </c>
      <c r="B69" s="552"/>
      <c r="C69" s="552"/>
      <c r="D69" s="552"/>
      <c r="E69" s="552"/>
      <c r="F69" s="552"/>
      <c r="G69" s="553"/>
      <c r="H69" s="147">
        <f>SUM(H15+H17+H21+H24+H26+H28+H35+H37+H44+H47+H50+H57+H59+H61+H64+H66)</f>
        <v>20156333</v>
      </c>
      <c r="I69" s="147">
        <f>SUM(I15+I17+I21+I24+I26+I28+I35+I37+I44+I47+I50+I57+I59+I61+I64+I66)</f>
        <v>4851759</v>
      </c>
      <c r="J69" s="147">
        <f>SUM(J15+J17+J21+J24+J26+J28+J35+J37+J44+J47+J50+J57+J59+J61+J64+J66)</f>
        <v>5618259</v>
      </c>
      <c r="K69" s="147">
        <f>SUM(K15+K17+K21+K24+K26+K28+K35+K37+K44+K47+K50+K57+K59+K61+K64+K66)</f>
        <v>4768259</v>
      </c>
      <c r="L69" s="147">
        <f>SUM(L15+L17+L21+L24+L26+L28+L35+L37+L44+L47+L50+L57+L59+L61+L64+L66)</f>
        <v>4918056</v>
      </c>
    </row>
    <row r="70" spans="1:12" ht="45.75" thickBot="1">
      <c r="A70" s="405"/>
      <c r="B70" s="398"/>
      <c r="C70" s="161" t="s">
        <v>137</v>
      </c>
      <c r="D70" s="166"/>
      <c r="E70" s="166"/>
      <c r="F70" s="166"/>
      <c r="G70" s="388" t="s">
        <v>233</v>
      </c>
      <c r="H70" s="384"/>
      <c r="I70" s="385"/>
      <c r="J70" s="385"/>
      <c r="K70" s="384"/>
      <c r="L70" s="382"/>
    </row>
    <row r="71" spans="1:12" ht="16.5" thickBot="1">
      <c r="A71" s="406"/>
      <c r="B71" s="394"/>
      <c r="C71" s="407"/>
      <c r="D71" s="168" t="s">
        <v>92</v>
      </c>
      <c r="E71" s="169"/>
      <c r="F71" s="169"/>
      <c r="G71" s="170" t="s">
        <v>10</v>
      </c>
      <c r="H71" s="381"/>
      <c r="I71" s="386"/>
      <c r="J71" s="381"/>
      <c r="K71" s="381"/>
      <c r="L71" s="383"/>
    </row>
    <row r="72" spans="1:12" ht="16.5" thickBot="1">
      <c r="A72" s="410"/>
      <c r="B72" s="408"/>
      <c r="C72" s="408"/>
      <c r="D72" s="220"/>
      <c r="E72" s="212">
        <v>237</v>
      </c>
      <c r="F72" s="69">
        <v>421</v>
      </c>
      <c r="G72" s="389" t="s">
        <v>5</v>
      </c>
      <c r="H72" s="15">
        <f>SUM(I72+J72+K72+L72)</f>
        <v>1240000</v>
      </c>
      <c r="I72" s="403">
        <f>+I73+I74</f>
        <v>240000</v>
      </c>
      <c r="J72" s="416">
        <f>+J73+J74</f>
        <v>300000</v>
      </c>
      <c r="K72" s="403">
        <f>+K73+K74</f>
        <v>700000</v>
      </c>
      <c r="L72" s="403">
        <f>+L73+L74</f>
        <v>0</v>
      </c>
    </row>
    <row r="73" spans="1:12" ht="16.5" thickBot="1">
      <c r="A73" s="411"/>
      <c r="B73" s="408"/>
      <c r="C73" s="408"/>
      <c r="D73" s="387"/>
      <c r="E73" s="424"/>
      <c r="F73" s="199">
        <v>4215</v>
      </c>
      <c r="G73" s="413" t="s">
        <v>103</v>
      </c>
      <c r="H73" s="281">
        <f>SUM(I73+J73+K73+L73)</f>
        <v>40000</v>
      </c>
      <c r="I73" s="415">
        <v>40000</v>
      </c>
      <c r="J73" s="417"/>
      <c r="K73" s="418"/>
      <c r="L73" s="418"/>
    </row>
    <row r="74" spans="1:13" ht="16.5" thickBot="1">
      <c r="A74" s="409"/>
      <c r="B74" s="408"/>
      <c r="C74" s="412"/>
      <c r="D74" s="220"/>
      <c r="E74" s="434"/>
      <c r="F74" s="171">
        <v>4216</v>
      </c>
      <c r="G74" s="414" t="s">
        <v>145</v>
      </c>
      <c r="H74" s="307">
        <f>SUM(I74+J74+K74+L74)</f>
        <v>1200000</v>
      </c>
      <c r="I74" s="390">
        <v>200000</v>
      </c>
      <c r="J74" s="391">
        <v>300000</v>
      </c>
      <c r="K74" s="390">
        <f>300000+400000</f>
        <v>700000</v>
      </c>
      <c r="L74" s="391">
        <f>400000-400000</f>
        <v>0</v>
      </c>
      <c r="M74" s="373"/>
    </row>
    <row r="75" spans="1:12" ht="16.5" thickBot="1">
      <c r="A75" s="173"/>
      <c r="B75" s="173"/>
      <c r="C75" s="173"/>
      <c r="D75" s="130"/>
      <c r="E75" s="212">
        <v>238</v>
      </c>
      <c r="F75" s="69">
        <v>422</v>
      </c>
      <c r="G75" s="14" t="s">
        <v>6</v>
      </c>
      <c r="H75" s="15">
        <f>SUM(I75+J75+K75+L75)</f>
        <v>70000</v>
      </c>
      <c r="I75" s="217">
        <f>+I76+I77</f>
        <v>20000</v>
      </c>
      <c r="J75" s="217">
        <f>+J76+J77</f>
        <v>20000</v>
      </c>
      <c r="K75" s="217">
        <f>+K76+K77</f>
        <v>10000</v>
      </c>
      <c r="L75" s="217">
        <f>+L76+L77</f>
        <v>20000</v>
      </c>
    </row>
    <row r="76" spans="1:12" ht="21.75" customHeight="1" thickBot="1">
      <c r="A76" s="131"/>
      <c r="B76" s="131"/>
      <c r="C76" s="131"/>
      <c r="D76" s="131"/>
      <c r="E76" s="131"/>
      <c r="F76" s="102">
        <v>4221</v>
      </c>
      <c r="G76" s="320" t="s">
        <v>240</v>
      </c>
      <c r="H76" s="261">
        <f>SUM(I76+J76+K76+L76)</f>
        <v>50000</v>
      </c>
      <c r="I76" s="281">
        <v>20000</v>
      </c>
      <c r="J76" s="281"/>
      <c r="K76" s="281">
        <v>10000</v>
      </c>
      <c r="L76" s="281">
        <v>20000</v>
      </c>
    </row>
    <row r="77" spans="1:12" ht="30.75" customHeight="1" thickBot="1">
      <c r="A77" s="173"/>
      <c r="B77" s="173"/>
      <c r="C77" s="470"/>
      <c r="D77" s="173"/>
      <c r="E77" s="469"/>
      <c r="F77" s="471">
        <v>4222</v>
      </c>
      <c r="G77" s="481" t="s">
        <v>241</v>
      </c>
      <c r="H77" s="264">
        <f>SUM(I77+J77+K77+L77)</f>
        <v>20000</v>
      </c>
      <c r="I77" s="474"/>
      <c r="J77" s="472">
        <v>20000</v>
      </c>
      <c r="K77" s="472"/>
      <c r="L77" s="473"/>
    </row>
    <row r="78" spans="1:12" ht="16.5" thickBot="1">
      <c r="A78" s="130"/>
      <c r="B78" s="130"/>
      <c r="C78" s="130"/>
      <c r="D78" s="130"/>
      <c r="E78" s="212">
        <v>239</v>
      </c>
      <c r="F78" s="13">
        <v>423</v>
      </c>
      <c r="G78" s="14" t="s">
        <v>7</v>
      </c>
      <c r="H78" s="15">
        <f>SUM(I78+J78+K78+L78)</f>
        <v>6141000</v>
      </c>
      <c r="I78" s="15">
        <f>SUM(I79:I84)</f>
        <v>500000</v>
      </c>
      <c r="J78" s="15">
        <f>SUM(J79:J84)</f>
        <v>1700000</v>
      </c>
      <c r="K78" s="15">
        <f>SUM(K79:K84)</f>
        <v>2370000</v>
      </c>
      <c r="L78" s="15">
        <f>SUM(L79:L84)</f>
        <v>1571000</v>
      </c>
    </row>
    <row r="79" spans="1:12" ht="32.25" thickBot="1">
      <c r="A79" s="131"/>
      <c r="B79" s="131"/>
      <c r="C79" s="131"/>
      <c r="D79" s="131"/>
      <c r="E79" s="131"/>
      <c r="F79" s="171">
        <v>4233</v>
      </c>
      <c r="G79" s="57" t="s">
        <v>106</v>
      </c>
      <c r="H79" s="58">
        <f aca="true" t="shared" si="4" ref="H79:H84">SUM(I79+J79+K79+L79)</f>
        <v>400000</v>
      </c>
      <c r="I79" s="281">
        <v>20000</v>
      </c>
      <c r="J79" s="281">
        <v>190000</v>
      </c>
      <c r="K79" s="58">
        <v>190000</v>
      </c>
      <c r="L79" s="58"/>
    </row>
    <row r="80" spans="1:12" ht="16.5" thickBot="1">
      <c r="A80" s="131"/>
      <c r="B80" s="131"/>
      <c r="C80" s="131"/>
      <c r="D80" s="131"/>
      <c r="E80" s="131"/>
      <c r="F80" s="171">
        <v>4234</v>
      </c>
      <c r="G80" s="305" t="s">
        <v>107</v>
      </c>
      <c r="H80" s="298">
        <f>SUM(I80+J80+K80+L80)</f>
        <v>400000</v>
      </c>
      <c r="I80" s="314"/>
      <c r="J80" s="230">
        <v>25000</v>
      </c>
      <c r="K80" s="230">
        <f>40000+300000</f>
        <v>340000</v>
      </c>
      <c r="L80" s="230">
        <v>35000</v>
      </c>
    </row>
    <row r="81" spans="1:12" ht="16.5" thickBot="1">
      <c r="A81" s="131"/>
      <c r="B81" s="131"/>
      <c r="C81" s="131"/>
      <c r="D81" s="131"/>
      <c r="E81" s="131"/>
      <c r="F81" s="171">
        <v>4235</v>
      </c>
      <c r="G81" s="10" t="s">
        <v>108</v>
      </c>
      <c r="H81" s="230">
        <f t="shared" si="4"/>
        <v>1511000</v>
      </c>
      <c r="I81" s="11">
        <v>120000</v>
      </c>
      <c r="J81" s="230">
        <v>340000</v>
      </c>
      <c r="K81" s="230">
        <f>450000+70000</f>
        <v>520000</v>
      </c>
      <c r="L81" s="230">
        <v>531000</v>
      </c>
    </row>
    <row r="82" spans="1:12" ht="16.5" thickBot="1">
      <c r="A82" s="131"/>
      <c r="B82" s="131"/>
      <c r="C82" s="131"/>
      <c r="D82" s="131"/>
      <c r="E82" s="131"/>
      <c r="F82" s="171">
        <v>4236</v>
      </c>
      <c r="G82" s="305" t="s">
        <v>8</v>
      </c>
      <c r="H82" s="11">
        <f t="shared" si="4"/>
        <v>630000</v>
      </c>
      <c r="I82" s="230"/>
      <c r="J82" s="230">
        <v>20000</v>
      </c>
      <c r="K82" s="230">
        <v>590000</v>
      </c>
      <c r="L82" s="230">
        <v>20000</v>
      </c>
    </row>
    <row r="83" spans="1:12" ht="16.5" thickBot="1">
      <c r="A83" s="131"/>
      <c r="B83" s="131"/>
      <c r="C83" s="131"/>
      <c r="D83" s="131"/>
      <c r="E83" s="131"/>
      <c r="F83" s="171">
        <v>4237</v>
      </c>
      <c r="G83" s="305" t="s">
        <v>109</v>
      </c>
      <c r="H83" s="298">
        <f t="shared" si="4"/>
        <v>250000</v>
      </c>
      <c r="I83" s="230">
        <v>110000</v>
      </c>
      <c r="J83" s="230"/>
      <c r="K83" s="314"/>
      <c r="L83" s="230">
        <v>140000</v>
      </c>
    </row>
    <row r="84" spans="1:12" ht="16.5" thickBot="1">
      <c r="A84" s="131"/>
      <c r="B84" s="131"/>
      <c r="C84" s="131"/>
      <c r="D84" s="131"/>
      <c r="E84" s="131"/>
      <c r="F84" s="171">
        <v>4239</v>
      </c>
      <c r="G84" s="7" t="s">
        <v>9</v>
      </c>
      <c r="H84" s="264">
        <f t="shared" si="4"/>
        <v>2950000</v>
      </c>
      <c r="I84" s="8">
        <v>250000</v>
      </c>
      <c r="J84" s="8">
        <f>925000+200000</f>
        <v>1125000</v>
      </c>
      <c r="K84" s="8">
        <v>730000</v>
      </c>
      <c r="L84" s="8">
        <f>1045000-200000</f>
        <v>845000</v>
      </c>
    </row>
    <row r="85" spans="1:12" ht="16.5" thickBot="1">
      <c r="A85" s="130"/>
      <c r="B85" s="130"/>
      <c r="C85" s="130"/>
      <c r="D85" s="130"/>
      <c r="E85" s="212">
        <v>240</v>
      </c>
      <c r="F85" s="13">
        <v>424</v>
      </c>
      <c r="G85" s="14" t="s">
        <v>25</v>
      </c>
      <c r="H85" s="15">
        <f aca="true" t="shared" si="5" ref="H85:H92">SUM(I85+J85+K85+L85)</f>
        <v>7750000</v>
      </c>
      <c r="I85" s="15">
        <f>+I86+I87+I88</f>
        <v>1800000</v>
      </c>
      <c r="J85" s="15">
        <f>+J86+J87+J88</f>
        <v>2500000</v>
      </c>
      <c r="K85" s="15">
        <f>+K86+K87+K88</f>
        <v>1000000</v>
      </c>
      <c r="L85" s="15">
        <f>+L86+L87+L88</f>
        <v>2450000</v>
      </c>
    </row>
    <row r="86" spans="1:12" ht="16.5" thickBot="1">
      <c r="A86" s="60"/>
      <c r="B86" s="60"/>
      <c r="C86" s="60"/>
      <c r="D86" s="60"/>
      <c r="E86" s="131"/>
      <c r="F86" s="102">
        <v>4242</v>
      </c>
      <c r="G86" s="57" t="s">
        <v>10</v>
      </c>
      <c r="H86" s="58">
        <f t="shared" si="5"/>
        <v>7100000</v>
      </c>
      <c r="I86" s="281">
        <v>1690000</v>
      </c>
      <c r="J86" s="281">
        <v>2320000</v>
      </c>
      <c r="K86" s="281">
        <v>820000</v>
      </c>
      <c r="L86" s="58">
        <v>2270000</v>
      </c>
    </row>
    <row r="87" spans="1:12" ht="16.5" thickBot="1">
      <c r="A87" s="356"/>
      <c r="B87" s="356"/>
      <c r="C87" s="356"/>
      <c r="D87" s="356"/>
      <c r="E87" s="495"/>
      <c r="F87" s="102">
        <v>4243</v>
      </c>
      <c r="G87" s="308" t="s">
        <v>243</v>
      </c>
      <c r="H87" s="230">
        <f t="shared" si="5"/>
        <v>150000</v>
      </c>
      <c r="I87" s="11">
        <v>30000</v>
      </c>
      <c r="J87" s="230">
        <v>40000</v>
      </c>
      <c r="K87" s="230">
        <v>40000</v>
      </c>
      <c r="L87" s="230">
        <v>40000</v>
      </c>
    </row>
    <row r="88" spans="1:12" ht="16.5" thickBot="1">
      <c r="A88" s="356"/>
      <c r="B88" s="356"/>
      <c r="C88" s="356"/>
      <c r="D88" s="356"/>
      <c r="E88" s="495"/>
      <c r="F88" s="102">
        <v>4249</v>
      </c>
      <c r="G88" s="265" t="s">
        <v>147</v>
      </c>
      <c r="H88" s="11">
        <f t="shared" si="5"/>
        <v>500000</v>
      </c>
      <c r="I88" s="264">
        <v>80000</v>
      </c>
      <c r="J88" s="8">
        <v>140000</v>
      </c>
      <c r="K88" s="8">
        <v>140000</v>
      </c>
      <c r="L88" s="8">
        <v>140000</v>
      </c>
    </row>
    <row r="89" spans="1:12" ht="16.5" thickBot="1">
      <c r="A89" s="60"/>
      <c r="B89" s="60"/>
      <c r="C89" s="60"/>
      <c r="D89" s="60"/>
      <c r="E89" s="212">
        <v>241</v>
      </c>
      <c r="F89" s="69">
        <v>426</v>
      </c>
      <c r="G89" s="14" t="s">
        <v>12</v>
      </c>
      <c r="H89" s="15">
        <f t="shared" si="5"/>
        <v>1510000</v>
      </c>
      <c r="I89" s="15">
        <f>SUM(I90:I93)</f>
        <v>160000</v>
      </c>
      <c r="J89" s="15">
        <f>SUM(J90:J93)</f>
        <v>400000</v>
      </c>
      <c r="K89" s="15">
        <f>SUM(K90:K93)</f>
        <v>700000</v>
      </c>
      <c r="L89" s="15">
        <f>SUM(L90:L93)</f>
        <v>250000</v>
      </c>
    </row>
    <row r="90" spans="1:12" ht="16.5" thickBot="1">
      <c r="A90" s="60"/>
      <c r="B90" s="60"/>
      <c r="C90" s="60"/>
      <c r="D90" s="60"/>
      <c r="E90" s="131"/>
      <c r="F90" s="102">
        <v>4264</v>
      </c>
      <c r="G90" s="57" t="s">
        <v>149</v>
      </c>
      <c r="H90" s="261">
        <f t="shared" si="5"/>
        <v>110000</v>
      </c>
      <c r="I90" s="58">
        <v>70000</v>
      </c>
      <c r="J90" s="58">
        <v>20000</v>
      </c>
      <c r="K90" s="281">
        <v>20000</v>
      </c>
      <c r="L90" s="58"/>
    </row>
    <row r="91" spans="1:12" ht="16.5" thickBot="1">
      <c r="A91" s="356"/>
      <c r="B91" s="356"/>
      <c r="C91" s="356"/>
      <c r="D91" s="356"/>
      <c r="E91" s="495"/>
      <c r="F91" s="221">
        <v>4266</v>
      </c>
      <c r="G91" s="305" t="s">
        <v>13</v>
      </c>
      <c r="H91" s="230">
        <f t="shared" si="5"/>
        <v>100000</v>
      </c>
      <c r="I91" s="230"/>
      <c r="J91" s="230">
        <v>100000</v>
      </c>
      <c r="K91" s="11"/>
      <c r="L91" s="230"/>
    </row>
    <row r="92" spans="1:12" ht="32.25" thickBot="1">
      <c r="A92" s="60"/>
      <c r="B92" s="60"/>
      <c r="C92" s="60"/>
      <c r="D92" s="60"/>
      <c r="E92" s="131"/>
      <c r="F92" s="221">
        <v>4268</v>
      </c>
      <c r="G92" s="305" t="s">
        <v>115</v>
      </c>
      <c r="H92" s="298">
        <f t="shared" si="5"/>
        <v>1295000</v>
      </c>
      <c r="I92" s="298">
        <v>85000</v>
      </c>
      <c r="J92" s="298">
        <v>280000</v>
      </c>
      <c r="K92" s="230">
        <f>330000+360000-10000</f>
        <v>680000</v>
      </c>
      <c r="L92" s="298">
        <v>250000</v>
      </c>
    </row>
    <row r="93" spans="1:12" ht="16.5" thickBot="1">
      <c r="A93" s="356"/>
      <c r="B93" s="356"/>
      <c r="C93" s="356"/>
      <c r="D93" s="356"/>
      <c r="E93" s="495"/>
      <c r="F93" s="221">
        <v>4269</v>
      </c>
      <c r="G93" s="481" t="s">
        <v>34</v>
      </c>
      <c r="H93" s="505">
        <f>SUM(I93+J93+K93+L93)</f>
        <v>5000</v>
      </c>
      <c r="I93" s="505">
        <v>5000</v>
      </c>
      <c r="J93" s="505"/>
      <c r="K93" s="506"/>
      <c r="L93" s="505"/>
    </row>
    <row r="94" spans="1:12" ht="18.75" customHeight="1" thickBot="1">
      <c r="A94" s="551" t="s">
        <v>138</v>
      </c>
      <c r="B94" s="552"/>
      <c r="C94" s="552"/>
      <c r="D94" s="552"/>
      <c r="E94" s="583"/>
      <c r="F94" s="583"/>
      <c r="G94" s="584"/>
      <c r="H94" s="147">
        <f>SUM(H72+H75+H78+H85+H89)</f>
        <v>16711000</v>
      </c>
      <c r="I94" s="147">
        <f>SUM(I72+I75+I78+I85+I89)</f>
        <v>2720000</v>
      </c>
      <c r="J94" s="147">
        <f>SUM(J72+J75+J78+J85+J89)</f>
        <v>4920000</v>
      </c>
      <c r="K94" s="178">
        <f>SUM(K72+K75+K78+K85+K89)</f>
        <v>4780000</v>
      </c>
      <c r="L94" s="178">
        <f>SUM(L72+L75+L78+L85+L89)</f>
        <v>4291000</v>
      </c>
    </row>
    <row r="95" spans="1:13" ht="27.75" hidden="1" thickBot="1">
      <c r="A95" s="394"/>
      <c r="B95" s="396"/>
      <c r="C95" s="161" t="s">
        <v>238</v>
      </c>
      <c r="D95" s="167"/>
      <c r="E95" s="394"/>
      <c r="F95" s="398"/>
      <c r="G95" s="400" t="s">
        <v>139</v>
      </c>
      <c r="H95" s="400"/>
      <c r="I95" s="400"/>
      <c r="J95" s="400"/>
      <c r="K95" s="400"/>
      <c r="L95" s="392"/>
      <c r="M95" s="373"/>
    </row>
    <row r="96" spans="1:12" ht="15.75" hidden="1" thickBot="1">
      <c r="A96" s="395"/>
      <c r="B96" s="395"/>
      <c r="C96" s="397"/>
      <c r="D96" s="168" t="s">
        <v>92</v>
      </c>
      <c r="E96" s="169"/>
      <c r="F96" s="169"/>
      <c r="G96" s="399" t="s">
        <v>10</v>
      </c>
      <c r="H96" s="381"/>
      <c r="I96" s="401"/>
      <c r="J96" s="402"/>
      <c r="K96" s="381"/>
      <c r="L96" s="381"/>
    </row>
    <row r="97" spans="1:12" ht="15.75" hidden="1" thickBot="1">
      <c r="A97" s="130"/>
      <c r="B97" s="130"/>
      <c r="C97" s="130"/>
      <c r="D97" s="130"/>
      <c r="E97" s="130">
        <v>268</v>
      </c>
      <c r="F97" s="145">
        <v>423</v>
      </c>
      <c r="G97" s="146" t="s">
        <v>7</v>
      </c>
      <c r="H97" s="144">
        <f>SUM(I97+J97+K97+L97)</f>
        <v>0</v>
      </c>
      <c r="I97" s="144">
        <f>+I98</f>
        <v>0</v>
      </c>
      <c r="J97" s="144">
        <f>+J98</f>
        <v>0</v>
      </c>
      <c r="K97" s="144">
        <f>+K98</f>
        <v>0</v>
      </c>
      <c r="L97" s="144">
        <f>+L98</f>
        <v>0</v>
      </c>
    </row>
    <row r="98" spans="1:12" ht="15.75" hidden="1" thickBot="1">
      <c r="A98" s="404"/>
      <c r="B98" s="173"/>
      <c r="C98" s="173"/>
      <c r="D98" s="173"/>
      <c r="E98" s="173"/>
      <c r="F98" s="171">
        <v>4237</v>
      </c>
      <c r="G98" s="313" t="s">
        <v>109</v>
      </c>
      <c r="H98" s="260"/>
      <c r="I98" s="58"/>
      <c r="J98" s="58"/>
      <c r="K98" s="58"/>
      <c r="L98" s="58"/>
    </row>
    <row r="99" spans="1:12" ht="15.75" hidden="1" thickBot="1">
      <c r="A99" s="582" t="s">
        <v>239</v>
      </c>
      <c r="B99" s="583"/>
      <c r="C99" s="583"/>
      <c r="D99" s="583"/>
      <c r="E99" s="583"/>
      <c r="F99" s="583"/>
      <c r="G99" s="584"/>
      <c r="H99" s="147">
        <f>+H97</f>
        <v>0</v>
      </c>
      <c r="I99" s="147">
        <f>+I97</f>
        <v>0</v>
      </c>
      <c r="J99" s="147">
        <f>+J97</f>
        <v>0</v>
      </c>
      <c r="K99" s="147">
        <f>+K97</f>
        <v>0</v>
      </c>
      <c r="L99" s="147">
        <f>+L97</f>
        <v>0</v>
      </c>
    </row>
    <row r="100" spans="1:13" ht="29.25" customHeight="1" thickBot="1">
      <c r="A100" s="579" t="s">
        <v>269</v>
      </c>
      <c r="B100" s="580"/>
      <c r="C100" s="580"/>
      <c r="D100" s="580"/>
      <c r="E100" s="580"/>
      <c r="F100" s="580"/>
      <c r="G100" s="581"/>
      <c r="H100" s="403">
        <f>SUM(H69+H94+H99)</f>
        <v>36867333</v>
      </c>
      <c r="I100" s="403">
        <f>SUM(I69+I94+I99)</f>
        <v>7571759</v>
      </c>
      <c r="J100" s="403">
        <f>SUM(J69+J94+J99)</f>
        <v>10538259</v>
      </c>
      <c r="K100" s="403">
        <f>SUM(K69+K94+K99)</f>
        <v>9548259</v>
      </c>
      <c r="L100" s="403">
        <f>SUM(L69+L94+L99)</f>
        <v>9209056</v>
      </c>
      <c r="M100" s="373"/>
    </row>
    <row r="101" spans="1:12" ht="15.75">
      <c r="A101" s="94"/>
      <c r="B101" s="94"/>
      <c r="C101" s="268"/>
      <c r="D101" s="268"/>
      <c r="E101" s="94"/>
      <c r="F101" s="94"/>
      <c r="G101" s="94"/>
      <c r="H101" s="393"/>
      <c r="I101" s="97"/>
      <c r="J101" s="393"/>
      <c r="K101" s="393"/>
      <c r="L101" s="97"/>
    </row>
    <row r="102" spans="1:12" ht="8.25" customHeight="1">
      <c r="A102" s="94"/>
      <c r="B102" s="512"/>
      <c r="C102" s="512"/>
      <c r="D102" s="512"/>
      <c r="E102" s="512"/>
      <c r="F102" s="512"/>
      <c r="G102" s="94"/>
      <c r="H102" s="97"/>
      <c r="I102" s="97"/>
      <c r="J102" s="97"/>
      <c r="K102" s="97"/>
      <c r="L102" s="97"/>
    </row>
    <row r="103" ht="14.25" hidden="1"/>
    <row r="104" spans="1:6" ht="14.25">
      <c r="A104" s="577" t="s">
        <v>290</v>
      </c>
      <c r="B104" s="578"/>
      <c r="C104" s="578"/>
      <c r="D104" s="578"/>
      <c r="E104" s="578"/>
      <c r="F104" s="578"/>
    </row>
    <row r="105" spans="1:12" ht="14.25">
      <c r="A105" s="578"/>
      <c r="B105" s="578"/>
      <c r="C105" s="578"/>
      <c r="D105" s="578"/>
      <c r="E105" s="578"/>
      <c r="F105" s="578"/>
      <c r="H105" s="516" t="s">
        <v>271</v>
      </c>
      <c r="I105" s="516"/>
      <c r="J105" s="516"/>
      <c r="K105" s="516"/>
      <c r="L105" s="517"/>
    </row>
    <row r="106" spans="8:12" ht="14.25">
      <c r="H106" s="517"/>
      <c r="I106" s="517"/>
      <c r="J106" s="517"/>
      <c r="K106" s="517"/>
      <c r="L106" s="517"/>
    </row>
    <row r="107" spans="8:12" ht="32.25" customHeight="1">
      <c r="H107" s="517"/>
      <c r="I107" s="517"/>
      <c r="J107" s="517"/>
      <c r="K107" s="517"/>
      <c r="L107" s="517"/>
    </row>
  </sheetData>
  <sheetProtection/>
  <mergeCells count="21">
    <mergeCell ref="B102:F102"/>
    <mergeCell ref="A104:F105"/>
    <mergeCell ref="H105:L107"/>
    <mergeCell ref="I9:I10"/>
    <mergeCell ref="J9:J10"/>
    <mergeCell ref="K9:K10"/>
    <mergeCell ref="A100:G100"/>
    <mergeCell ref="A99:G99"/>
    <mergeCell ref="A94:G94"/>
    <mergeCell ref="A69:G69"/>
    <mergeCell ref="G9:G10"/>
    <mergeCell ref="F9:F10"/>
    <mergeCell ref="A1:E5"/>
    <mergeCell ref="A9:A10"/>
    <mergeCell ref="B9:B10"/>
    <mergeCell ref="C9:C10"/>
    <mergeCell ref="D9:D10"/>
    <mergeCell ref="E9:E10"/>
    <mergeCell ref="A6:L8"/>
    <mergeCell ref="L9:L10"/>
    <mergeCell ref="H9:H10"/>
  </mergeCells>
  <printOptions/>
  <pageMargins left="0.35" right="0.16" top="0.25" bottom="0.16" header="0.26" footer="0.16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</dc:creator>
  <cp:keywords/>
  <dc:description/>
  <cp:lastModifiedBy>User</cp:lastModifiedBy>
  <cp:lastPrinted>2019-09-02T10:18:19Z</cp:lastPrinted>
  <dcterms:created xsi:type="dcterms:W3CDTF">2013-10-30T09:41:09Z</dcterms:created>
  <dcterms:modified xsi:type="dcterms:W3CDTF">2019-09-03T13:22:17Z</dcterms:modified>
  <cp:category/>
  <cp:version/>
  <cp:contentType/>
  <cp:contentStatus/>
</cp:coreProperties>
</file>